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ml.chartshapes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2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icky\Documents\Site 21-03-17\free templates\"/>
    </mc:Choice>
  </mc:AlternateContent>
  <xr:revisionPtr revIDLastSave="0" documentId="8_{4A60F87E-A942-4EC2-919F-ABA115CA0D07}" xr6:coauthVersionLast="32" xr6:coauthVersionMax="32" xr10:uidLastSave="{00000000-0000-0000-0000-000000000000}"/>
  <bookViews>
    <workbookView xWindow="0" yWindow="0" windowWidth="22056" windowHeight="8928" xr2:uid="{00000000-000D-0000-FFFF-FFFF00000000}"/>
  </bookViews>
  <sheets>
    <sheet name="SPC" sheetId="1" r:id="rId1"/>
    <sheet name="Formule" sheetId="2" r:id="rId2"/>
  </sheets>
  <definedNames>
    <definedName name="_xlnm._FilterDatabase" localSheetId="1" hidden="1">Formule!$B$1:$B$26</definedName>
    <definedName name="_xlnm._FilterDatabase" localSheetId="0" hidden="1">SPC!#REF!</definedName>
    <definedName name="_GoA1">[0]!_GoA1</definedName>
    <definedName name="Capture.Capture">[0]!Capture.Capture</definedName>
    <definedName name="HistData2">#REF!</definedName>
    <definedName name="HistData4">#REF!</definedName>
    <definedName name="PCP">#REF!</definedName>
    <definedName name="_xlnm.Print_Area" localSheetId="0">SPC!$A$1:$BA$83</definedName>
    <definedName name="_xlnm.Print_Titles">#REF!</definedName>
  </definedNames>
  <calcPr calcId="162913"/>
</workbook>
</file>

<file path=xl/calcChain.xml><?xml version="1.0" encoding="utf-8"?>
<calcChain xmlns="http://schemas.openxmlformats.org/spreadsheetml/2006/main">
  <c r="P5" i="1" l="1"/>
  <c r="K2" i="1"/>
  <c r="CT39" i="2" l="1"/>
  <c r="CS39" i="2"/>
  <c r="CR39" i="2"/>
  <c r="CQ39" i="2"/>
  <c r="CP39" i="2"/>
  <c r="CO39" i="2"/>
  <c r="CN39" i="2"/>
  <c r="CM39" i="2"/>
  <c r="CL39" i="2"/>
  <c r="CK39" i="2"/>
  <c r="CJ39" i="2"/>
  <c r="CI39" i="2"/>
  <c r="CH39" i="2"/>
  <c r="CG39" i="2"/>
  <c r="CF39" i="2"/>
  <c r="CE39" i="2"/>
  <c r="CD39" i="2"/>
  <c r="CC39" i="2"/>
  <c r="CB39" i="2"/>
  <c r="CA39" i="2"/>
  <c r="BZ39" i="2"/>
  <c r="BY39" i="2"/>
  <c r="BX39" i="2"/>
  <c r="BW39" i="2"/>
  <c r="BV39" i="2"/>
  <c r="BU39" i="2"/>
  <c r="BT39" i="2"/>
  <c r="BS39" i="2"/>
  <c r="BR39" i="2"/>
  <c r="BQ39" i="2"/>
  <c r="BP39" i="2"/>
  <c r="BO39" i="2"/>
  <c r="BN39" i="2"/>
  <c r="BM39" i="2"/>
  <c r="BL39" i="2"/>
  <c r="BK39" i="2"/>
  <c r="BJ39" i="2"/>
  <c r="BI39" i="2"/>
  <c r="BH39" i="2"/>
  <c r="BG39" i="2"/>
  <c r="BF39" i="2"/>
  <c r="BE39" i="2"/>
  <c r="BD39" i="2"/>
  <c r="BC39" i="2"/>
  <c r="BB39" i="2"/>
  <c r="BA39" i="2"/>
  <c r="AZ39" i="2"/>
  <c r="AY39" i="2"/>
  <c r="AX39" i="2"/>
  <c r="AW39" i="2"/>
  <c r="AV39" i="2"/>
  <c r="AU39" i="2"/>
  <c r="AT39" i="2"/>
  <c r="AS39" i="2"/>
  <c r="AR39" i="2"/>
  <c r="AQ39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A39" i="2"/>
  <c r="Z39" i="2"/>
  <c r="Y39" i="2"/>
  <c r="X39" i="2"/>
  <c r="W39" i="2"/>
  <c r="V39" i="2"/>
  <c r="U39" i="2"/>
  <c r="T39" i="2"/>
  <c r="BA30" i="1"/>
  <c r="BA37" i="1" s="1"/>
  <c r="BB30" i="1"/>
  <c r="BB38" i="1" s="1"/>
  <c r="BC30" i="1"/>
  <c r="BC38" i="1" s="1"/>
  <c r="BD30" i="1"/>
  <c r="BD37" i="1" s="1"/>
  <c r="BE30" i="1"/>
  <c r="BE38" i="1" s="1"/>
  <c r="BF30" i="1"/>
  <c r="BF37" i="1" s="1"/>
  <c r="BG30" i="1"/>
  <c r="BG37" i="1" s="1"/>
  <c r="BH30" i="1"/>
  <c r="BH38" i="1" s="1"/>
  <c r="BI30" i="1"/>
  <c r="BI38" i="1" s="1"/>
  <c r="BJ30" i="1"/>
  <c r="BJ37" i="1" s="1"/>
  <c r="BK30" i="1"/>
  <c r="BK38" i="1" s="1"/>
  <c r="BL30" i="1"/>
  <c r="BL38" i="1" s="1"/>
  <c r="BM30" i="1"/>
  <c r="BM37" i="1" s="1"/>
  <c r="BN30" i="1"/>
  <c r="BN38" i="1" s="1"/>
  <c r="BO30" i="1"/>
  <c r="BO37" i="1" s="1"/>
  <c r="BP30" i="1"/>
  <c r="BP37" i="1" s="1"/>
  <c r="BQ30" i="1"/>
  <c r="BQ38" i="1" s="1"/>
  <c r="BR30" i="1"/>
  <c r="BR38" i="1" s="1"/>
  <c r="BS30" i="1"/>
  <c r="BS37" i="1" s="1"/>
  <c r="BT30" i="1"/>
  <c r="BT38" i="1" s="1"/>
  <c r="BU30" i="1"/>
  <c r="BU37" i="1" s="1"/>
  <c r="BV30" i="1"/>
  <c r="BV37" i="1" s="1"/>
  <c r="BW30" i="1"/>
  <c r="BW38" i="1" s="1"/>
  <c r="BC37" i="1"/>
  <c r="BF38" i="1"/>
  <c r="AS88" i="2"/>
  <c r="CS1" i="2"/>
  <c r="AR30" i="1" s="1"/>
  <c r="CT1" i="2"/>
  <c r="AS30" i="1" s="1"/>
  <c r="CU1" i="2"/>
  <c r="AT30" i="1" s="1"/>
  <c r="CV1" i="2"/>
  <c r="AU30" i="1" s="1"/>
  <c r="CW1" i="2"/>
  <c r="AV30" i="1" s="1"/>
  <c r="CX1" i="2"/>
  <c r="AW30" i="1" s="1"/>
  <c r="CY1" i="2"/>
  <c r="AX30" i="1" s="1"/>
  <c r="CZ1" i="2"/>
  <c r="AY30" i="1" s="1"/>
  <c r="DA1" i="2"/>
  <c r="AZ30" i="1" s="1"/>
  <c r="CD1" i="2"/>
  <c r="AC30" i="1" s="1"/>
  <c r="CE1" i="2"/>
  <c r="AD30" i="1" s="1"/>
  <c r="CF1" i="2"/>
  <c r="AE30" i="1" s="1"/>
  <c r="CG1" i="2"/>
  <c r="AF30" i="1" s="1"/>
  <c r="CH1" i="2"/>
  <c r="AG30" i="1" s="1"/>
  <c r="CI1" i="2"/>
  <c r="AH30" i="1" s="1"/>
  <c r="CJ1" i="2"/>
  <c r="AI30" i="1" s="1"/>
  <c r="CK1" i="2"/>
  <c r="AJ30" i="1" s="1"/>
  <c r="CL1" i="2"/>
  <c r="AK30" i="1" s="1"/>
  <c r="CM1" i="2"/>
  <c r="AL30" i="1" s="1"/>
  <c r="CN1" i="2"/>
  <c r="AM30" i="1" s="1"/>
  <c r="CO1" i="2"/>
  <c r="AN30" i="1" s="1"/>
  <c r="CP1" i="2"/>
  <c r="AO30" i="1" s="1"/>
  <c r="CQ1" i="2"/>
  <c r="AP30" i="1" s="1"/>
  <c r="CR1" i="2"/>
  <c r="AQ30" i="1" s="1"/>
  <c r="BE1" i="2"/>
  <c r="D30" i="1" s="1"/>
  <c r="BF1" i="2"/>
  <c r="E30" i="1" s="1"/>
  <c r="BG1" i="2"/>
  <c r="F30" i="1" s="1"/>
  <c r="BH1" i="2"/>
  <c r="G30" i="1" s="1"/>
  <c r="BI1" i="2"/>
  <c r="H30" i="1" s="1"/>
  <c r="BJ1" i="2"/>
  <c r="I30" i="1" s="1"/>
  <c r="BK1" i="2"/>
  <c r="J30" i="1" s="1"/>
  <c r="BL1" i="2"/>
  <c r="K30" i="1" s="1"/>
  <c r="BM1" i="2"/>
  <c r="L30" i="1" s="1"/>
  <c r="BN1" i="2"/>
  <c r="M30" i="1" s="1"/>
  <c r="BO1" i="2"/>
  <c r="N30" i="1" s="1"/>
  <c r="BP1" i="2"/>
  <c r="O30" i="1" s="1"/>
  <c r="BQ1" i="2"/>
  <c r="P30" i="1" s="1"/>
  <c r="BR1" i="2"/>
  <c r="Q30" i="1" s="1"/>
  <c r="BS1" i="2"/>
  <c r="R30" i="1" s="1"/>
  <c r="BT1" i="2"/>
  <c r="S30" i="1" s="1"/>
  <c r="BU1" i="2"/>
  <c r="T30" i="1" s="1"/>
  <c r="BV1" i="2"/>
  <c r="U30" i="1" s="1"/>
  <c r="BW1" i="2"/>
  <c r="V30" i="1" s="1"/>
  <c r="BX1" i="2"/>
  <c r="W30" i="1" s="1"/>
  <c r="BY1" i="2"/>
  <c r="X30" i="1" s="1"/>
  <c r="BZ1" i="2"/>
  <c r="Y30" i="1" s="1"/>
  <c r="CA1" i="2"/>
  <c r="Z30" i="1" s="1"/>
  <c r="CB1" i="2"/>
  <c r="AA30" i="1" s="1"/>
  <c r="CC1" i="2"/>
  <c r="AB30" i="1" s="1"/>
  <c r="BD1" i="2"/>
  <c r="C30" i="1" s="1"/>
  <c r="BR37" i="1" l="1"/>
  <c r="BG38" i="1"/>
  <c r="BU38" i="1"/>
  <c r="BJ38" i="1"/>
  <c r="BD38" i="1"/>
  <c r="BM38" i="1"/>
  <c r="BL37" i="1"/>
  <c r="BI37" i="1"/>
  <c r="BO38" i="1"/>
  <c r="AL38" i="1"/>
  <c r="AI38" i="1"/>
  <c r="AF38" i="1"/>
  <c r="BA38" i="1"/>
  <c r="BR90" i="2" s="1"/>
  <c r="BE37" i="1"/>
  <c r="AC38" i="1"/>
  <c r="BN37" i="1"/>
  <c r="BH37" i="1"/>
  <c r="BV38" i="1"/>
  <c r="BP38" i="1"/>
  <c r="BB37" i="1"/>
  <c r="BW37" i="1"/>
  <c r="BQ37" i="1"/>
  <c r="BS38" i="1"/>
  <c r="BT37" i="1"/>
  <c r="BK37" i="1"/>
  <c r="AM37" i="1"/>
  <c r="AM38" i="1"/>
  <c r="AY37" i="1"/>
  <c r="AY38" i="1"/>
  <c r="AV37" i="1"/>
  <c r="AV38" i="1"/>
  <c r="AO37" i="1"/>
  <c r="AO38" i="1"/>
  <c r="AX37" i="1"/>
  <c r="AX38" i="1"/>
  <c r="AU37" i="1"/>
  <c r="AU38" i="1"/>
  <c r="AQ38" i="1"/>
  <c r="AQ37" i="1"/>
  <c r="AN38" i="1"/>
  <c r="AN37" i="1"/>
  <c r="AZ38" i="1"/>
  <c r="AZ37" i="1"/>
  <c r="AW38" i="1"/>
  <c r="AW37" i="1"/>
  <c r="AT38" i="1"/>
  <c r="AT37" i="1"/>
  <c r="AP37" i="1"/>
  <c r="AP38" i="1"/>
  <c r="AS37" i="1"/>
  <c r="AS38" i="1"/>
  <c r="AR37" i="1"/>
  <c r="AR38" i="1"/>
  <c r="AK37" i="1"/>
  <c r="AK38" i="1"/>
  <c r="AE38" i="1"/>
  <c r="AE37" i="1"/>
  <c r="AH37" i="1"/>
  <c r="AH38" i="1"/>
  <c r="AJ38" i="1"/>
  <c r="AJ37" i="1"/>
  <c r="AG37" i="1"/>
  <c r="AG38" i="1"/>
  <c r="AD37" i="1"/>
  <c r="AD38" i="1"/>
  <c r="AB38" i="1"/>
  <c r="AS90" i="2" s="1"/>
  <c r="AB37" i="1"/>
  <c r="AL37" i="1"/>
  <c r="AI37" i="1"/>
  <c r="AF37" i="1"/>
  <c r="AC37" i="1"/>
  <c r="D186" i="2" l="1"/>
  <c r="C192" i="2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U61" i="2"/>
  <c r="V61" i="2" s="1"/>
  <c r="W61" i="2" s="1"/>
  <c r="X61" i="2" s="1"/>
  <c r="Y61" i="2" s="1"/>
  <c r="T85" i="2"/>
  <c r="X86" i="2" s="1"/>
  <c r="U85" i="2"/>
  <c r="AS87" i="2" s="1"/>
  <c r="V85" i="2"/>
  <c r="U89" i="2" s="1"/>
  <c r="T88" i="2"/>
  <c r="U88" i="2"/>
  <c r="V88" i="2"/>
  <c r="W88" i="2"/>
  <c r="W87" i="2" s="1"/>
  <c r="X88" i="2"/>
  <c r="Y88" i="2"/>
  <c r="V89" i="2"/>
  <c r="X89" i="2"/>
  <c r="Y89" i="2"/>
  <c r="R92" i="2"/>
  <c r="R93" i="2"/>
  <c r="R94" i="2"/>
  <c r="R95" i="2"/>
  <c r="R96" i="2"/>
  <c r="R97" i="2"/>
  <c r="S98" i="2"/>
  <c r="S99" i="2"/>
  <c r="S100" i="2"/>
  <c r="S101" i="2"/>
  <c r="T109" i="2"/>
  <c r="T110" i="2" s="1"/>
  <c r="T111" i="2" s="1"/>
  <c r="T112" i="2" s="1"/>
  <c r="T113" i="2" s="1"/>
  <c r="T114" i="2" s="1"/>
  <c r="T115" i="2" s="1"/>
  <c r="T116" i="2" s="1"/>
  <c r="T118" i="2" s="1"/>
  <c r="T119" i="2" s="1"/>
  <c r="T120" i="2" s="1"/>
  <c r="T121" i="2" s="1"/>
  <c r="T122" i="2" s="1"/>
  <c r="T123" i="2" s="1"/>
  <c r="T124" i="2" s="1"/>
  <c r="R128" i="2"/>
  <c r="E180" i="2"/>
  <c r="T86" i="2" l="1"/>
  <c r="X87" i="2"/>
  <c r="U87" i="2"/>
  <c r="Y87" i="2"/>
  <c r="V87" i="2"/>
  <c r="S106" i="2"/>
  <c r="R106" i="2"/>
  <c r="U86" i="2"/>
  <c r="AS86" i="2"/>
  <c r="Y86" i="2"/>
  <c r="T89" i="2"/>
  <c r="AS89" i="2"/>
  <c r="T87" i="2"/>
  <c r="W86" i="2"/>
  <c r="D180" i="2"/>
  <c r="V86" i="2"/>
  <c r="W89" i="2"/>
  <c r="BQ90" i="2" l="1"/>
  <c r="BP90" i="2"/>
  <c r="BO90" i="2"/>
  <c r="BN90" i="2"/>
  <c r="BM90" i="2"/>
  <c r="BL90" i="2"/>
  <c r="BK90" i="2"/>
  <c r="BJ90" i="2"/>
  <c r="BI90" i="2"/>
  <c r="BH90" i="2"/>
  <c r="BG90" i="2"/>
  <c r="BF90" i="2"/>
  <c r="BE90" i="2"/>
  <c r="BD90" i="2"/>
  <c r="BC90" i="2"/>
  <c r="BB90" i="2"/>
  <c r="BA90" i="2"/>
  <c r="AZ90" i="2"/>
  <c r="AY90" i="2"/>
  <c r="AX90" i="2"/>
  <c r="AW90" i="2"/>
  <c r="AV90" i="2"/>
  <c r="AU90" i="2"/>
  <c r="AT90" i="2"/>
  <c r="BR89" i="2"/>
  <c r="BQ89" i="2"/>
  <c r="BP89" i="2"/>
  <c r="BO89" i="2"/>
  <c r="BN89" i="2"/>
  <c r="BM89" i="2"/>
  <c r="BL89" i="2"/>
  <c r="BK89" i="2"/>
  <c r="BJ89" i="2"/>
  <c r="BI89" i="2"/>
  <c r="BH89" i="2"/>
  <c r="BG89" i="2"/>
  <c r="BF89" i="2"/>
  <c r="BE89" i="2"/>
  <c r="BD89" i="2"/>
  <c r="BC89" i="2"/>
  <c r="BB89" i="2"/>
  <c r="BA89" i="2"/>
  <c r="AZ89" i="2"/>
  <c r="AY89" i="2"/>
  <c r="AX89" i="2"/>
  <c r="AW89" i="2"/>
  <c r="AV89" i="2"/>
  <c r="AU89" i="2"/>
  <c r="AT89" i="2"/>
  <c r="AR89" i="2"/>
  <c r="AQ89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A89" i="2"/>
  <c r="Z89" i="2"/>
  <c r="BR88" i="2"/>
  <c r="BQ88" i="2"/>
  <c r="BP88" i="2"/>
  <c r="BO88" i="2"/>
  <c r="BN88" i="2"/>
  <c r="BN87" i="2" s="1"/>
  <c r="BM88" i="2"/>
  <c r="BL88" i="2"/>
  <c r="BK88" i="2"/>
  <c r="BK87" i="2" s="1"/>
  <c r="BJ88" i="2"/>
  <c r="BI88" i="2"/>
  <c r="BH88" i="2"/>
  <c r="BG88" i="2"/>
  <c r="BF88" i="2"/>
  <c r="BE88" i="2"/>
  <c r="BD88" i="2"/>
  <c r="BC88" i="2"/>
  <c r="BB88" i="2"/>
  <c r="BB87" i="2" s="1"/>
  <c r="BA88" i="2"/>
  <c r="AZ88" i="2"/>
  <c r="AY88" i="2"/>
  <c r="AX88" i="2"/>
  <c r="AW88" i="2"/>
  <c r="AV88" i="2"/>
  <c r="AU88" i="2"/>
  <c r="AT88" i="2"/>
  <c r="AR88" i="2"/>
  <c r="AR87" i="2" s="1"/>
  <c r="AQ88" i="2"/>
  <c r="AP88" i="2"/>
  <c r="AO88" i="2"/>
  <c r="AN88" i="2"/>
  <c r="AM88" i="2"/>
  <c r="AL88" i="2"/>
  <c r="AL87" i="2" s="1"/>
  <c r="AK88" i="2"/>
  <c r="AJ88" i="2"/>
  <c r="AI88" i="2"/>
  <c r="AI87" i="2" s="1"/>
  <c r="AH88" i="2"/>
  <c r="AG88" i="2"/>
  <c r="AF88" i="2"/>
  <c r="AE88" i="2"/>
  <c r="AD88" i="2"/>
  <c r="AC88" i="2"/>
  <c r="AC87" i="2" s="1"/>
  <c r="AB88" i="2"/>
  <c r="AA88" i="2"/>
  <c r="Z88" i="2"/>
  <c r="Z87" i="2" s="1"/>
  <c r="BE87" i="2"/>
  <c r="AV87" i="2"/>
  <c r="BR86" i="2"/>
  <c r="BQ86" i="2"/>
  <c r="BP86" i="2"/>
  <c r="BO86" i="2"/>
  <c r="BN86" i="2"/>
  <c r="BM86" i="2"/>
  <c r="BL86" i="2"/>
  <c r="BK86" i="2"/>
  <c r="BJ86" i="2"/>
  <c r="BI86" i="2"/>
  <c r="BH86" i="2"/>
  <c r="BG86" i="2"/>
  <c r="BF86" i="2"/>
  <c r="BE86" i="2"/>
  <c r="BD86" i="2"/>
  <c r="BC86" i="2"/>
  <c r="BB86" i="2"/>
  <c r="BA86" i="2"/>
  <c r="AZ86" i="2"/>
  <c r="AY86" i="2"/>
  <c r="AX86" i="2"/>
  <c r="AW86" i="2"/>
  <c r="AV86" i="2"/>
  <c r="AU86" i="2"/>
  <c r="AT86" i="2"/>
  <c r="AR86" i="2"/>
  <c r="AQ86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A86" i="2"/>
  <c r="Z86" i="2"/>
  <c r="BQ73" i="2"/>
  <c r="BQ72" i="2"/>
  <c r="BQ71" i="2"/>
  <c r="BQ70" i="2"/>
  <c r="Z61" i="2"/>
  <c r="AA61" i="2" s="1"/>
  <c r="AB61" i="2" s="1"/>
  <c r="AC61" i="2" s="1"/>
  <c r="AD61" i="2" s="1"/>
  <c r="AE61" i="2" s="1"/>
  <c r="AF61" i="2" s="1"/>
  <c r="AG61" i="2" s="1"/>
  <c r="AH61" i="2" s="1"/>
  <c r="AI61" i="2" s="1"/>
  <c r="AJ61" i="2" s="1"/>
  <c r="AK61" i="2" s="1"/>
  <c r="AL61" i="2" s="1"/>
  <c r="AM61" i="2" s="1"/>
  <c r="AN61" i="2" s="1"/>
  <c r="AO61" i="2" s="1"/>
  <c r="AP61" i="2" s="1"/>
  <c r="AQ61" i="2" s="1"/>
  <c r="AR61" i="2" s="1"/>
  <c r="AS61" i="2" s="1"/>
  <c r="AT61" i="2" s="1"/>
  <c r="AU61" i="2" s="1"/>
  <c r="AV61" i="2" s="1"/>
  <c r="AW61" i="2" s="1"/>
  <c r="AX61" i="2" s="1"/>
  <c r="AY61" i="2" s="1"/>
  <c r="AZ61" i="2" s="1"/>
  <c r="BA61" i="2" s="1"/>
  <c r="BB61" i="2" s="1"/>
  <c r="BC61" i="2" s="1"/>
  <c r="BD61" i="2" s="1"/>
  <c r="BE61" i="2" s="1"/>
  <c r="BF61" i="2" s="1"/>
  <c r="BG61" i="2" s="1"/>
  <c r="BH61" i="2" s="1"/>
  <c r="BI61" i="2" s="1"/>
  <c r="BJ61" i="2" s="1"/>
  <c r="BK61" i="2" s="1"/>
  <c r="BL61" i="2" s="1"/>
  <c r="BM61" i="2" s="1"/>
  <c r="BN61" i="2" s="1"/>
  <c r="BO61" i="2" s="1"/>
  <c r="BP61" i="2" s="1"/>
  <c r="BQ61" i="2" s="1"/>
  <c r="BP87" i="2" l="1"/>
  <c r="BM87" i="2"/>
  <c r="BJ87" i="2"/>
  <c r="BG87" i="2"/>
  <c r="BD87" i="2"/>
  <c r="BA87" i="2"/>
  <c r="AX87" i="2"/>
  <c r="AU87" i="2"/>
  <c r="AQ87" i="2"/>
  <c r="AN87" i="2"/>
  <c r="AK87" i="2"/>
  <c r="AH87" i="2"/>
  <c r="AE87" i="2"/>
  <c r="AB87" i="2"/>
  <c r="BR87" i="2"/>
  <c r="BO87" i="2"/>
  <c r="BL87" i="2"/>
  <c r="BI87" i="2"/>
  <c r="BF87" i="2"/>
  <c r="BC87" i="2"/>
  <c r="AZ87" i="2"/>
  <c r="AW87" i="2"/>
  <c r="AT87" i="2"/>
  <c r="AP87" i="2"/>
  <c r="AM87" i="2"/>
  <c r="AJ87" i="2"/>
  <c r="AG87" i="2"/>
  <c r="AD87" i="2"/>
  <c r="AA87" i="2"/>
  <c r="AF87" i="2"/>
  <c r="AO87" i="2"/>
  <c r="AY87" i="2"/>
  <c r="BH87" i="2"/>
  <c r="BQ87" i="2"/>
  <c r="BQ54" i="2"/>
  <c r="BP54" i="2"/>
  <c r="BO54" i="2"/>
  <c r="BN54" i="2"/>
  <c r="BM54" i="2"/>
  <c r="BL54" i="2"/>
  <c r="BK54" i="2"/>
  <c r="BK56" i="2" s="1"/>
  <c r="BJ54" i="2"/>
  <c r="BI54" i="2"/>
  <c r="BH54" i="2"/>
  <c r="BG54" i="2"/>
  <c r="BF54" i="2"/>
  <c r="BE54" i="2"/>
  <c r="BE55" i="2" s="1"/>
  <c r="BD54" i="2"/>
  <c r="BC54" i="2"/>
  <c r="BB54" i="2"/>
  <c r="BA54" i="2"/>
  <c r="AZ54" i="2"/>
  <c r="AZ55" i="2" s="1"/>
  <c r="AY54" i="2"/>
  <c r="AX54" i="2"/>
  <c r="AW54" i="2"/>
  <c r="AV54" i="2"/>
  <c r="AV56" i="2" s="1"/>
  <c r="AU54" i="2"/>
  <c r="AU56" i="2" s="1"/>
  <c r="AT54" i="2"/>
  <c r="AW56" i="2" l="1"/>
  <c r="BB56" i="2"/>
  <c r="BN56" i="2"/>
  <c r="AX56" i="2"/>
  <c r="BL56" i="2"/>
  <c r="BM56" i="2" s="1"/>
  <c r="BF55" i="2"/>
  <c r="BC56" i="2"/>
  <c r="BD56" i="2" s="1"/>
  <c r="BE56" i="2" s="1"/>
  <c r="AV55" i="2"/>
  <c r="AY56" i="2"/>
  <c r="BQ55" i="2"/>
  <c r="AW55" i="2"/>
  <c r="AX55" i="2" s="1"/>
  <c r="AY55" i="2" s="1"/>
  <c r="BL55" i="2"/>
  <c r="BM55" i="2" s="1"/>
  <c r="BN55" i="2" s="1"/>
  <c r="BO55" i="2" s="1"/>
  <c r="BP55" i="2" s="1"/>
  <c r="BA55" i="2"/>
  <c r="BB55" i="2" s="1"/>
  <c r="BC55" i="2" s="1"/>
  <c r="BD55" i="2" s="1"/>
  <c r="BG55" i="2"/>
  <c r="BH55" i="2" s="1"/>
  <c r="BI55" i="2" s="1"/>
  <c r="BJ55" i="2"/>
  <c r="BK55" i="2" s="1"/>
  <c r="AZ56" i="2"/>
  <c r="BA56" i="2" s="1"/>
  <c r="BF56" i="2"/>
  <c r="BG56" i="2" s="1"/>
  <c r="BH56" i="2" s="1"/>
  <c r="BI56" i="2" s="1"/>
  <c r="BJ56" i="2" s="1"/>
  <c r="BO56" i="2"/>
  <c r="BP56" i="2" s="1"/>
  <c r="BQ56" i="2" s="1"/>
  <c r="BQ47" i="2"/>
  <c r="BP47" i="2"/>
  <c r="BP49" i="2" s="1"/>
  <c r="BO47" i="2"/>
  <c r="BN47" i="2"/>
  <c r="BM47" i="2"/>
  <c r="BL47" i="2"/>
  <c r="BK47" i="2"/>
  <c r="BJ47" i="2"/>
  <c r="BI47" i="2"/>
  <c r="BH47" i="2"/>
  <c r="BG47" i="2"/>
  <c r="BF47" i="2"/>
  <c r="BE47" i="2"/>
  <c r="BD47" i="2"/>
  <c r="BC47" i="2"/>
  <c r="BB47" i="2"/>
  <c r="BB49" i="2" s="1"/>
  <c r="BA47" i="2"/>
  <c r="AZ47" i="2"/>
  <c r="AY47" i="2"/>
  <c r="AX47" i="2"/>
  <c r="AW47" i="2"/>
  <c r="AV47" i="2"/>
  <c r="AV49" i="2" s="1"/>
  <c r="AU47" i="2"/>
  <c r="AT47" i="2"/>
  <c r="U153" i="2"/>
  <c r="V153" i="2" s="1"/>
  <c r="W153" i="2" s="1"/>
  <c r="X153" i="2" s="1"/>
  <c r="Y153" i="2" s="1"/>
  <c r="Z153" i="2" s="1"/>
  <c r="AA153" i="2" s="1"/>
  <c r="AB153" i="2" s="1"/>
  <c r="AC153" i="2" s="1"/>
  <c r="AD153" i="2" s="1"/>
  <c r="AE153" i="2" s="1"/>
  <c r="AF153" i="2" s="1"/>
  <c r="AG153" i="2" s="1"/>
  <c r="AH153" i="2" s="1"/>
  <c r="AI153" i="2" s="1"/>
  <c r="AJ153" i="2" s="1"/>
  <c r="AK153" i="2" s="1"/>
  <c r="AL153" i="2" s="1"/>
  <c r="AM153" i="2" s="1"/>
  <c r="AN153" i="2" s="1"/>
  <c r="AO153" i="2" s="1"/>
  <c r="AP153" i="2" s="1"/>
  <c r="AQ153" i="2" s="1"/>
  <c r="AR153" i="2" s="1"/>
  <c r="T145" i="2"/>
  <c r="T144" i="2"/>
  <c r="AP151" i="2" s="1"/>
  <c r="AC34" i="2"/>
  <c r="T143" i="2"/>
  <c r="AC33" i="2"/>
  <c r="T142" i="2"/>
  <c r="AR149" i="2" s="1"/>
  <c r="T141" i="2"/>
  <c r="AQ148" i="2" s="1"/>
  <c r="T140" i="2"/>
  <c r="AP147" i="2" s="1"/>
  <c r="AK20" i="2"/>
  <c r="AD15" i="2"/>
  <c r="AC15" i="2"/>
  <c r="AA15" i="2"/>
  <c r="AH25" i="2"/>
  <c r="AH31" i="2"/>
  <c r="AH22" i="2"/>
  <c r="AH21" i="2"/>
  <c r="AH24" i="2"/>
  <c r="AH29" i="2"/>
  <c r="AH23" i="2"/>
  <c r="BN49" i="2" l="1"/>
  <c r="BO49" i="2" s="1"/>
  <c r="BQ49" i="2"/>
  <c r="T148" i="2"/>
  <c r="AG148" i="2"/>
  <c r="W151" i="2"/>
  <c r="AF151" i="2"/>
  <c r="BA48" i="2"/>
  <c r="X148" i="2"/>
  <c r="AL148" i="2"/>
  <c r="X151" i="2"/>
  <c r="AJ151" i="2"/>
  <c r="AX49" i="2"/>
  <c r="AY49" i="2" s="1"/>
  <c r="AC148" i="2"/>
  <c r="AP148" i="2"/>
  <c r="AC151" i="2"/>
  <c r="AL151" i="2"/>
  <c r="W147" i="2"/>
  <c r="AF147" i="2"/>
  <c r="AD148" i="2"/>
  <c r="AB147" i="2"/>
  <c r="AK147" i="2"/>
  <c r="AO147" i="2"/>
  <c r="T147" i="2"/>
  <c r="Y147" i="2"/>
  <c r="AC147" i="2"/>
  <c r="AH147" i="2"/>
  <c r="AL147" i="2"/>
  <c r="AQ147" i="2"/>
  <c r="U148" i="2"/>
  <c r="Z148" i="2"/>
  <c r="AI148" i="2"/>
  <c r="AM148" i="2"/>
  <c r="AR148" i="2"/>
  <c r="V147" i="2"/>
  <c r="Z147" i="2"/>
  <c r="AE147" i="2"/>
  <c r="AI147" i="2"/>
  <c r="AN147" i="2"/>
  <c r="AR147" i="2"/>
  <c r="W148" i="2"/>
  <c r="AA148" i="2"/>
  <c r="AF148" i="2"/>
  <c r="AJ148" i="2"/>
  <c r="AO148" i="2"/>
  <c r="T151" i="2"/>
  <c r="AA151" i="2"/>
  <c r="AG151" i="2"/>
  <c r="AO151" i="2"/>
  <c r="BB48" i="2"/>
  <c r="AJ24" i="2"/>
  <c r="AJ23" i="2"/>
  <c r="AJ22" i="2"/>
  <c r="AJ25" i="2"/>
  <c r="AP150" i="2"/>
  <c r="AM150" i="2"/>
  <c r="AR152" i="2"/>
  <c r="AO152" i="2"/>
  <c r="AL152" i="2"/>
  <c r="AI152" i="2"/>
  <c r="AF152" i="2"/>
  <c r="AC152" i="2"/>
  <c r="Z152" i="2"/>
  <c r="W152" i="2"/>
  <c r="T152" i="2"/>
  <c r="U149" i="2"/>
  <c r="X149" i="2"/>
  <c r="AA149" i="2"/>
  <c r="AD149" i="2"/>
  <c r="AG149" i="2"/>
  <c r="AJ149" i="2"/>
  <c r="AM149" i="2"/>
  <c r="AP149" i="2"/>
  <c r="V150" i="2"/>
  <c r="Y150" i="2"/>
  <c r="AB150" i="2"/>
  <c r="AE150" i="2"/>
  <c r="AH150" i="2"/>
  <c r="AK150" i="2"/>
  <c r="AO150" i="2"/>
  <c r="V152" i="2"/>
  <c r="AA152" i="2"/>
  <c r="AE152" i="2"/>
  <c r="AJ152" i="2"/>
  <c r="AN152" i="2"/>
  <c r="AW48" i="2"/>
  <c r="AX48" i="2" s="1"/>
  <c r="AY48" i="2" s="1"/>
  <c r="AZ48" i="2" s="1"/>
  <c r="AW49" i="2"/>
  <c r="AZ49" i="2"/>
  <c r="BA49" i="2" s="1"/>
  <c r="BC48" i="2"/>
  <c r="BD48" i="2" s="1"/>
  <c r="BE48" i="2" s="1"/>
  <c r="BF48" i="2" s="1"/>
  <c r="BG48" i="2" s="1"/>
  <c r="BH48" i="2" s="1"/>
  <c r="BI48" i="2" s="1"/>
  <c r="BJ48" i="2" s="1"/>
  <c r="BK48" i="2" s="1"/>
  <c r="BL48" i="2" s="1"/>
  <c r="BM48" i="2" s="1"/>
  <c r="BN48" i="2" s="1"/>
  <c r="BO48" i="2" s="1"/>
  <c r="BP48" i="2" s="1"/>
  <c r="BC49" i="2"/>
  <c r="BD49" i="2" s="1"/>
  <c r="BE49" i="2" s="1"/>
  <c r="BF49" i="2"/>
  <c r="BG49" i="2" s="1"/>
  <c r="BH49" i="2" s="1"/>
  <c r="BI49" i="2"/>
  <c r="BJ49" i="2" s="1"/>
  <c r="BK49" i="2" s="1"/>
  <c r="BL49" i="2"/>
  <c r="BM49" i="2" s="1"/>
  <c r="V149" i="2"/>
  <c r="Y149" i="2"/>
  <c r="AB149" i="2"/>
  <c r="AE149" i="2"/>
  <c r="AH149" i="2"/>
  <c r="AK149" i="2"/>
  <c r="AN149" i="2"/>
  <c r="AQ149" i="2"/>
  <c r="T150" i="2"/>
  <c r="W150" i="2"/>
  <c r="Z150" i="2"/>
  <c r="AC150" i="2"/>
  <c r="AF150" i="2"/>
  <c r="AI150" i="2"/>
  <c r="AL150" i="2"/>
  <c r="AQ150" i="2"/>
  <c r="X152" i="2"/>
  <c r="AB152" i="2"/>
  <c r="AG152" i="2"/>
  <c r="AK152" i="2"/>
  <c r="AP152" i="2"/>
  <c r="AQ151" i="2"/>
  <c r="AN151" i="2"/>
  <c r="AK151" i="2"/>
  <c r="AH151" i="2"/>
  <c r="AE151" i="2"/>
  <c r="AB151" i="2"/>
  <c r="Y151" i="2"/>
  <c r="V151" i="2"/>
  <c r="U147" i="2"/>
  <c r="X147" i="2"/>
  <c r="AA147" i="2"/>
  <c r="AD147" i="2"/>
  <c r="AG147" i="2"/>
  <c r="AJ147" i="2"/>
  <c r="AM147" i="2"/>
  <c r="V148" i="2"/>
  <c r="Y148" i="2"/>
  <c r="AB148" i="2"/>
  <c r="AE148" i="2"/>
  <c r="AH148" i="2"/>
  <c r="AK148" i="2"/>
  <c r="AN148" i="2"/>
  <c r="T149" i="2"/>
  <c r="W149" i="2"/>
  <c r="Z149" i="2"/>
  <c r="AC149" i="2"/>
  <c r="AF149" i="2"/>
  <c r="AI149" i="2"/>
  <c r="AL149" i="2"/>
  <c r="AO149" i="2"/>
  <c r="U150" i="2"/>
  <c r="X150" i="2"/>
  <c r="AA150" i="2"/>
  <c r="AD150" i="2"/>
  <c r="AG150" i="2"/>
  <c r="AJ150" i="2"/>
  <c r="AN150" i="2"/>
  <c r="AR150" i="2"/>
  <c r="U151" i="2"/>
  <c r="Z151" i="2"/>
  <c r="AD151" i="2"/>
  <c r="AI151" i="2"/>
  <c r="AM151" i="2"/>
  <c r="AR151" i="2"/>
  <c r="U152" i="2"/>
  <c r="Y152" i="2"/>
  <c r="AD152" i="2"/>
  <c r="AH152" i="2"/>
  <c r="AM152" i="2"/>
  <c r="AQ152" i="2"/>
  <c r="BQ48" i="2"/>
  <c r="A3" i="2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M37" i="1"/>
  <c r="P2" i="1"/>
  <c r="X2" i="1"/>
  <c r="Z2" i="1"/>
  <c r="M3" i="1"/>
  <c r="AA3" i="1"/>
  <c r="AA4" i="1"/>
  <c r="AA5" i="1"/>
  <c r="AA6" i="1"/>
  <c r="P7" i="1"/>
  <c r="AA7" i="1"/>
  <c r="Y8" i="1"/>
  <c r="Y9" i="1"/>
  <c r="C11" i="1"/>
  <c r="AA11" i="1"/>
  <c r="C21" i="1"/>
  <c r="AA21" i="1"/>
  <c r="A37" i="1"/>
  <c r="A38" i="1"/>
  <c r="AH2" i="1"/>
  <c r="AP3" i="1" s="1"/>
  <c r="AH26" i="2"/>
  <c r="AH28" i="2"/>
  <c r="AH27" i="2"/>
  <c r="AH30" i="2"/>
  <c r="L2" i="1" l="1"/>
  <c r="AE34" i="2" s="1"/>
  <c r="B34" i="1"/>
  <c r="AJ30" i="2"/>
  <c r="AJ31" i="2"/>
  <c r="AJ27" i="2"/>
  <c r="AJ28" i="2"/>
  <c r="AJ29" i="2"/>
  <c r="AJ26" i="2"/>
  <c r="AA37" i="1"/>
  <c r="X37" i="1"/>
  <c r="U37" i="1"/>
  <c r="F37" i="1"/>
  <c r="Q37" i="1"/>
  <c r="E37" i="1"/>
  <c r="B23" i="2" s="1"/>
  <c r="Y37" i="1"/>
  <c r="D37" i="1"/>
  <c r="V37" i="1"/>
  <c r="V38" i="1"/>
  <c r="AH15" i="2"/>
  <c r="AE15" i="2"/>
  <c r="AB15" i="2"/>
  <c r="Y15" i="2"/>
  <c r="AG15" i="2"/>
  <c r="X15" i="2"/>
  <c r="AF15" i="2"/>
  <c r="Z15" i="2"/>
  <c r="AP5" i="1" s="1"/>
  <c r="Y4" i="1" s="1"/>
  <c r="W15" i="2"/>
  <c r="B5" i="2"/>
  <c r="B13" i="2"/>
  <c r="AX3" i="1"/>
  <c r="B35" i="1"/>
  <c r="Q2" i="1"/>
  <c r="B49" i="2"/>
  <c r="B45" i="2"/>
  <c r="AX2" i="1"/>
  <c r="B36" i="1"/>
  <c r="AX4" i="1"/>
  <c r="AP9" i="1"/>
  <c r="N37" i="1"/>
  <c r="B33" i="1"/>
  <c r="B32" i="1"/>
  <c r="R37" i="1"/>
  <c r="R38" i="1"/>
  <c r="I37" i="1"/>
  <c r="I38" i="1"/>
  <c r="K37" i="1"/>
  <c r="T37" i="1"/>
  <c r="T38" i="1"/>
  <c r="O37" i="1"/>
  <c r="J37" i="1"/>
  <c r="H37" i="1"/>
  <c r="P37" i="1"/>
  <c r="P38" i="1"/>
  <c r="G37" i="1"/>
  <c r="Z37" i="1"/>
  <c r="Z38" i="1"/>
  <c r="W38" i="1"/>
  <c r="W37" i="1"/>
  <c r="U38" i="1"/>
  <c r="AP4" i="1"/>
  <c r="AP2" i="1"/>
  <c r="Q38" i="1"/>
  <c r="AA38" i="1"/>
  <c r="S37" i="1"/>
  <c r="L37" i="1"/>
  <c r="L38" i="1"/>
  <c r="B43" i="2"/>
  <c r="AH6" i="1"/>
  <c r="AH7" i="1"/>
  <c r="Y7" i="1" l="1"/>
  <c r="AH3" i="1"/>
  <c r="E38" i="1"/>
  <c r="V90" i="2" s="1"/>
  <c r="CS37" i="2"/>
  <c r="CP37" i="2"/>
  <c r="CM37" i="2"/>
  <c r="CJ37" i="2"/>
  <c r="CG37" i="2"/>
  <c r="CD37" i="2"/>
  <c r="CA37" i="2"/>
  <c r="BX37" i="2"/>
  <c r="BU37" i="2"/>
  <c r="BR37" i="2"/>
  <c r="BO37" i="2"/>
  <c r="BL37" i="2"/>
  <c r="BI37" i="2"/>
  <c r="BF37" i="2"/>
  <c r="BC37" i="2"/>
  <c r="AZ37" i="2"/>
  <c r="AW37" i="2"/>
  <c r="AT37" i="2"/>
  <c r="AQ37" i="2"/>
  <c r="AN37" i="2"/>
  <c r="AK37" i="2"/>
  <c r="AH37" i="2"/>
  <c r="AE37" i="2"/>
  <c r="AB37" i="2"/>
  <c r="Y37" i="2"/>
  <c r="V37" i="2"/>
  <c r="CR37" i="2"/>
  <c r="CO37" i="2"/>
  <c r="CL37" i="2"/>
  <c r="CI37" i="2"/>
  <c r="CF37" i="2"/>
  <c r="CC37" i="2"/>
  <c r="BZ37" i="2"/>
  <c r="BW37" i="2"/>
  <c r="BT37" i="2"/>
  <c r="BQ37" i="2"/>
  <c r="BN37" i="2"/>
  <c r="BK37" i="2"/>
  <c r="BH37" i="2"/>
  <c r="BE37" i="2"/>
  <c r="BB37" i="2"/>
  <c r="AY37" i="2"/>
  <c r="AV37" i="2"/>
  <c r="AS37" i="2"/>
  <c r="AP37" i="2"/>
  <c r="AM37" i="2"/>
  <c r="AJ37" i="2"/>
  <c r="AG37" i="2"/>
  <c r="AD37" i="2"/>
  <c r="AA37" i="2"/>
  <c r="X37" i="2"/>
  <c r="U37" i="2"/>
  <c r="CT37" i="2"/>
  <c r="CQ37" i="2"/>
  <c r="CN37" i="2"/>
  <c r="CK37" i="2"/>
  <c r="CH37" i="2"/>
  <c r="CE37" i="2"/>
  <c r="CB37" i="2"/>
  <c r="BY37" i="2"/>
  <c r="BV37" i="2"/>
  <c r="BS37" i="2"/>
  <c r="BP37" i="2"/>
  <c r="BM37" i="2"/>
  <c r="BJ37" i="2"/>
  <c r="BG37" i="2"/>
  <c r="BD37" i="2"/>
  <c r="BA37" i="2"/>
  <c r="AX37" i="2"/>
  <c r="AU37" i="2"/>
  <c r="AR37" i="2"/>
  <c r="AO37" i="2"/>
  <c r="AL37" i="2"/>
  <c r="AI37" i="2"/>
  <c r="AF37" i="2"/>
  <c r="AC37" i="2"/>
  <c r="Z37" i="2"/>
  <c r="W37" i="2"/>
  <c r="T37" i="2"/>
  <c r="CR38" i="2"/>
  <c r="CO38" i="2"/>
  <c r="CL38" i="2"/>
  <c r="CI38" i="2"/>
  <c r="CF38" i="2"/>
  <c r="CC38" i="2"/>
  <c r="BZ38" i="2"/>
  <c r="BW38" i="2"/>
  <c r="BT38" i="2"/>
  <c r="BQ38" i="2"/>
  <c r="BN38" i="2"/>
  <c r="BK38" i="2"/>
  <c r="BH38" i="2"/>
  <c r="BE38" i="2"/>
  <c r="BB38" i="2"/>
  <c r="AY38" i="2"/>
  <c r="AV38" i="2"/>
  <c r="AS38" i="2"/>
  <c r="AP38" i="2"/>
  <c r="AM38" i="2"/>
  <c r="AJ38" i="2"/>
  <c r="AG38" i="2"/>
  <c r="AD38" i="2"/>
  <c r="AA38" i="2"/>
  <c r="X38" i="2"/>
  <c r="U38" i="2"/>
  <c r="CT38" i="2"/>
  <c r="CQ38" i="2"/>
  <c r="CN38" i="2"/>
  <c r="CK38" i="2"/>
  <c r="CH38" i="2"/>
  <c r="CE38" i="2"/>
  <c r="CB38" i="2"/>
  <c r="BY38" i="2"/>
  <c r="BV38" i="2"/>
  <c r="BS38" i="2"/>
  <c r="BP38" i="2"/>
  <c r="BM38" i="2"/>
  <c r="BJ38" i="2"/>
  <c r="BG38" i="2"/>
  <c r="BD38" i="2"/>
  <c r="BA38" i="2"/>
  <c r="AX38" i="2"/>
  <c r="AU38" i="2"/>
  <c r="AR38" i="2"/>
  <c r="AO38" i="2"/>
  <c r="AL38" i="2"/>
  <c r="AI38" i="2"/>
  <c r="AF38" i="2"/>
  <c r="AC38" i="2"/>
  <c r="Z38" i="2"/>
  <c r="W38" i="2"/>
  <c r="T38" i="2"/>
  <c r="CS38" i="2"/>
  <c r="CP38" i="2"/>
  <c r="CM38" i="2"/>
  <c r="CJ38" i="2"/>
  <c r="CG38" i="2"/>
  <c r="CD38" i="2"/>
  <c r="CA38" i="2"/>
  <c r="BX38" i="2"/>
  <c r="BU38" i="2"/>
  <c r="BR38" i="2"/>
  <c r="BO38" i="2"/>
  <c r="BL38" i="2"/>
  <c r="BI38" i="2"/>
  <c r="BF38" i="2"/>
  <c r="BC38" i="2"/>
  <c r="AZ38" i="2"/>
  <c r="AW38" i="2"/>
  <c r="AT38" i="2"/>
  <c r="AQ38" i="2"/>
  <c r="AN38" i="2"/>
  <c r="AK38" i="2"/>
  <c r="AH38" i="2"/>
  <c r="AE38" i="2"/>
  <c r="AB38" i="2"/>
  <c r="Y38" i="2"/>
  <c r="V38" i="2"/>
  <c r="AJ32" i="2"/>
  <c r="F38" i="1"/>
  <c r="W90" i="2" s="1"/>
  <c r="AM90" i="2"/>
  <c r="B19" i="2"/>
  <c r="B3" i="2"/>
  <c r="B6" i="2"/>
  <c r="B18" i="2"/>
  <c r="V47" i="2"/>
  <c r="B26" i="2"/>
  <c r="AP47" i="2"/>
  <c r="AP48" i="2" s="1"/>
  <c r="B4" i="2"/>
  <c r="W47" i="2"/>
  <c r="B24" i="2"/>
  <c r="B14" i="2"/>
  <c r="AS47" i="2"/>
  <c r="AQ47" i="2"/>
  <c r="Y38" i="1"/>
  <c r="AP90" i="2" s="1"/>
  <c r="AI47" i="2"/>
  <c r="AK47" i="2"/>
  <c r="AK49" i="2" s="1"/>
  <c r="AM47" i="2"/>
  <c r="AH5" i="1"/>
  <c r="AF34" i="2"/>
  <c r="AH34" i="2" s="1"/>
  <c r="AJ34" i="2" s="1"/>
  <c r="M38" i="1"/>
  <c r="AC47" i="2"/>
  <c r="AH90" i="2"/>
  <c r="AH54" i="2"/>
  <c r="AL90" i="2"/>
  <c r="AL54" i="2"/>
  <c r="AN90" i="2"/>
  <c r="AN54" i="2"/>
  <c r="B27" i="2"/>
  <c r="AG47" i="2"/>
  <c r="J38" i="1"/>
  <c r="AA47" i="2"/>
  <c r="AM54" i="2"/>
  <c r="S38" i="1"/>
  <c r="AJ47" i="2"/>
  <c r="AQ90" i="2"/>
  <c r="B2" i="2"/>
  <c r="X47" i="2"/>
  <c r="Y47" i="2"/>
  <c r="B25" i="2"/>
  <c r="AF47" i="2"/>
  <c r="B15" i="2"/>
  <c r="AB47" i="2"/>
  <c r="AI90" i="2"/>
  <c r="AI54" i="2"/>
  <c r="AH47" i="2"/>
  <c r="AL47" i="2"/>
  <c r="AG90" i="2"/>
  <c r="Z90" i="2"/>
  <c r="N38" i="1"/>
  <c r="AE47" i="2"/>
  <c r="AD47" i="2"/>
  <c r="AC90" i="2"/>
  <c r="AR90" i="2"/>
  <c r="AS54" i="2"/>
  <c r="AR54" i="2"/>
  <c r="X38" i="1"/>
  <c r="AN47" i="2"/>
  <c r="AK90" i="2"/>
  <c r="B9" i="2"/>
  <c r="Z47" i="2"/>
  <c r="AO47" i="2"/>
  <c r="AR47" i="2"/>
  <c r="O3" i="1"/>
  <c r="AH4" i="1" s="1"/>
  <c r="B31" i="2"/>
  <c r="B44" i="2"/>
  <c r="B42" i="2"/>
  <c r="B40" i="2"/>
  <c r="B34" i="2"/>
  <c r="B36" i="2"/>
  <c r="B32" i="2"/>
  <c r="O38" i="1"/>
  <c r="K38" i="1"/>
  <c r="G38" i="1"/>
  <c r="H38" i="1"/>
  <c r="B28" i="2"/>
  <c r="B29" i="2"/>
  <c r="B8" i="2"/>
  <c r="B21" i="2"/>
  <c r="B37" i="2"/>
  <c r="B48" i="2"/>
  <c r="B38" i="2"/>
  <c r="B41" i="2"/>
  <c r="B11" i="2"/>
  <c r="B12" i="2"/>
  <c r="B50" i="2"/>
  <c r="B51" i="2"/>
  <c r="B33" i="2"/>
  <c r="B39" i="2"/>
  <c r="B10" i="2"/>
  <c r="B30" i="2"/>
  <c r="B17" i="2"/>
  <c r="B7" i="2"/>
  <c r="B16" i="2"/>
  <c r="B35" i="2"/>
  <c r="B46" i="2"/>
  <c r="B20" i="2"/>
  <c r="B47" i="2"/>
  <c r="AQ48" i="2" l="1"/>
  <c r="AQ54" i="2"/>
  <c r="W54" i="2"/>
  <c r="AP54" i="2"/>
  <c r="AK54" i="2"/>
  <c r="AC54" i="2"/>
  <c r="Y90" i="2"/>
  <c r="X90" i="2"/>
  <c r="AG34" i="2"/>
  <c r="AJ33" i="2" s="1"/>
  <c r="AG21" i="2" s="1"/>
  <c r="AF22" i="2" s="1"/>
  <c r="Y54" i="2"/>
  <c r="AR49" i="2"/>
  <c r="AS49" i="2" s="1"/>
  <c r="AT49" i="2" s="1"/>
  <c r="AU49" i="2" s="1"/>
  <c r="AR48" i="2"/>
  <c r="AS48" i="2" s="1"/>
  <c r="AT48" i="2" s="1"/>
  <c r="AU48" i="2" s="1"/>
  <c r="AV48" i="2" s="1"/>
  <c r="AA90" i="2"/>
  <c r="AA54" i="2"/>
  <c r="AF90" i="2"/>
  <c r="AF54" i="2"/>
  <c r="X54" i="2"/>
  <c r="AD90" i="2"/>
  <c r="AD54" i="2"/>
  <c r="AO90" i="2"/>
  <c r="AO54" i="2"/>
  <c r="AO49" i="2"/>
  <c r="AP49" i="2" s="1"/>
  <c r="AQ49" i="2" s="1"/>
  <c r="AE90" i="2"/>
  <c r="AE54" i="2"/>
  <c r="AG54" i="2"/>
  <c r="AL49" i="2"/>
  <c r="AM49" i="2" s="1"/>
  <c r="AL48" i="2"/>
  <c r="AM48" i="2" s="1"/>
  <c r="AN48" i="2" s="1"/>
  <c r="AO48" i="2" s="1"/>
  <c r="AJ90" i="2"/>
  <c r="AJ54" i="2"/>
  <c r="AB90" i="2"/>
  <c r="AB54" i="2"/>
  <c r="AN49" i="2"/>
  <c r="AS55" i="2"/>
  <c r="AT55" i="2" s="1"/>
  <c r="AU55" i="2" s="1"/>
  <c r="Z54" i="2"/>
  <c r="Y49" i="2"/>
  <c r="Z49" i="2" s="1"/>
  <c r="AQ56" i="2"/>
  <c r="AR56" i="2" s="1"/>
  <c r="AS56" i="2" s="1"/>
  <c r="AT56" i="2" s="1"/>
  <c r="AA49" i="2"/>
  <c r="AB49" i="2" s="1"/>
  <c r="AC49" i="2" s="1"/>
  <c r="AD49" i="2" s="1"/>
  <c r="AE49" i="2" s="1"/>
  <c r="AF49" i="2" s="1"/>
  <c r="AG49" i="2" s="1"/>
  <c r="AH49" i="2" s="1"/>
  <c r="AI49" i="2" s="1"/>
  <c r="AJ49" i="2" s="1"/>
  <c r="AJ35" i="2" l="1"/>
  <c r="AJ36" i="2" s="1"/>
  <c r="AF21" i="2" s="1"/>
  <c r="AE21" i="2" s="1"/>
  <c r="Z55" i="2"/>
  <c r="AO55" i="2"/>
  <c r="AP55" i="2" s="1"/>
  <c r="AQ55" i="2" s="1"/>
  <c r="AR55" i="2" s="1"/>
  <c r="AA55" i="2"/>
  <c r="AB55" i="2" s="1"/>
  <c r="AC55" i="2" s="1"/>
  <c r="AJ56" i="2"/>
  <c r="AK56" i="2" s="1"/>
  <c r="AL56" i="2" s="1"/>
  <c r="AM56" i="2" s="1"/>
  <c r="AN56" i="2" s="1"/>
  <c r="AO56" i="2" s="1"/>
  <c r="AP56" i="2" s="1"/>
  <c r="AD55" i="2"/>
  <c r="AE55" i="2" s="1"/>
  <c r="AF55" i="2" s="1"/>
  <c r="AG55" i="2" s="1"/>
  <c r="AH55" i="2" s="1"/>
  <c r="AI55" i="2" s="1"/>
  <c r="AJ55" i="2" s="1"/>
  <c r="AK55" i="2" s="1"/>
  <c r="AL55" i="2" s="1"/>
  <c r="AM55" i="2" s="1"/>
  <c r="AN55" i="2" s="1"/>
  <c r="AG22" i="2" l="1"/>
  <c r="AF23" i="2" s="1"/>
  <c r="AG23" i="2" s="1"/>
  <c r="AF24" i="2" s="1"/>
  <c r="AE22" i="2" l="1"/>
  <c r="AG24" i="2"/>
  <c r="AF25" i="2" s="1"/>
  <c r="AE23" i="2"/>
  <c r="AE24" i="2" l="1"/>
  <c r="AG25" i="2"/>
  <c r="AF26" i="2" s="1"/>
  <c r="AE25" i="2" l="1"/>
  <c r="AG26" i="2"/>
  <c r="AF27" i="2" s="1"/>
  <c r="U117" i="2"/>
  <c r="AE26" i="2" l="1"/>
  <c r="AG27" i="2"/>
  <c r="AF28" i="2" s="1"/>
  <c r="Z117" i="2"/>
  <c r="AE27" i="2" l="1"/>
  <c r="AG28" i="2"/>
  <c r="AF29" i="2" s="1"/>
  <c r="AE28" i="2" l="1"/>
  <c r="AG29" i="2"/>
  <c r="AF30" i="2" s="1"/>
  <c r="AE29" i="2" l="1"/>
  <c r="AG30" i="2"/>
  <c r="AF31" i="2" s="1"/>
  <c r="AE30" i="2" l="1"/>
  <c r="AG31" i="2"/>
  <c r="AE31" i="2" s="1"/>
  <c r="C38" i="1" l="1"/>
  <c r="C37" i="1"/>
  <c r="T65" i="2"/>
  <c r="T64" i="2"/>
  <c r="G2" i="2" l="1"/>
  <c r="D38" i="1"/>
  <c r="U35" i="2" s="1"/>
  <c r="X7" i="1"/>
  <c r="D182" i="2"/>
  <c r="D181" i="2"/>
  <c r="T8" i="2"/>
  <c r="H2" i="2"/>
  <c r="F20" i="2" s="1"/>
  <c r="R131" i="2"/>
  <c r="B22" i="2"/>
  <c r="D184" i="2"/>
  <c r="G181" i="2"/>
  <c r="AH8" i="1"/>
  <c r="U33" i="2"/>
  <c r="U47" i="2"/>
  <c r="D183" i="2"/>
  <c r="T90" i="2"/>
  <c r="T66" i="2"/>
  <c r="AH9" i="1" l="1"/>
  <c r="AP7" i="1" s="1"/>
  <c r="Y6" i="1" s="1"/>
  <c r="U54" i="2"/>
  <c r="U90" i="2"/>
  <c r="V54" i="2"/>
  <c r="V55" i="2" s="1"/>
  <c r="W55" i="2" s="1"/>
  <c r="X55" i="2" s="1"/>
  <c r="Y55" i="2" s="1"/>
  <c r="CO44" i="2"/>
  <c r="CR44" i="2"/>
  <c r="CQ44" i="2"/>
  <c r="CT44" i="2"/>
  <c r="BN44" i="2"/>
  <c r="BQ44" i="2"/>
  <c r="BT44" i="2"/>
  <c r="BW44" i="2"/>
  <c r="BZ44" i="2"/>
  <c r="CC44" i="2"/>
  <c r="CF44" i="2"/>
  <c r="CI44" i="2"/>
  <c r="CL44" i="2"/>
  <c r="AV44" i="2"/>
  <c r="AY44" i="2"/>
  <c r="BB44" i="2"/>
  <c r="CP44" i="2"/>
  <c r="BM44" i="2"/>
  <c r="BR44" i="2"/>
  <c r="BV44" i="2"/>
  <c r="CA44" i="2"/>
  <c r="CE44" i="2"/>
  <c r="CJ44" i="2"/>
  <c r="CN44" i="2"/>
  <c r="AT44" i="2"/>
  <c r="AX44" i="2"/>
  <c r="BC44" i="2"/>
  <c r="BF44" i="2"/>
  <c r="BI44" i="2"/>
  <c r="BL44" i="2"/>
  <c r="CS44" i="2"/>
  <c r="BO44" i="2"/>
  <c r="BS44" i="2"/>
  <c r="BX44" i="2"/>
  <c r="CB44" i="2"/>
  <c r="CG44" i="2"/>
  <c r="CK44" i="2"/>
  <c r="AU44" i="2"/>
  <c r="AZ44" i="2"/>
  <c r="BD44" i="2"/>
  <c r="BG44" i="2"/>
  <c r="BJ44" i="2"/>
  <c r="BP44" i="2"/>
  <c r="BU44" i="2"/>
  <c r="BY44" i="2"/>
  <c r="CD44" i="2"/>
  <c r="CH44" i="2"/>
  <c r="CM44" i="2"/>
  <c r="AW44" i="2"/>
  <c r="BA44" i="2"/>
  <c r="BE44" i="2"/>
  <c r="BH44" i="2"/>
  <c r="BK44" i="2"/>
  <c r="CO41" i="2"/>
  <c r="CR41" i="2"/>
  <c r="CP41" i="2"/>
  <c r="CS41" i="2"/>
  <c r="CQ41" i="2"/>
  <c r="CT41" i="2"/>
  <c r="BN41" i="2"/>
  <c r="BQ41" i="2"/>
  <c r="BT41" i="2"/>
  <c r="BW41" i="2"/>
  <c r="BZ41" i="2"/>
  <c r="CC41" i="2"/>
  <c r="CF41" i="2"/>
  <c r="CI41" i="2"/>
  <c r="CL41" i="2"/>
  <c r="AV41" i="2"/>
  <c r="AY41" i="2"/>
  <c r="BB41" i="2"/>
  <c r="BE41" i="2"/>
  <c r="BH41" i="2"/>
  <c r="BK41" i="2"/>
  <c r="BP41" i="2"/>
  <c r="BU41" i="2"/>
  <c r="BY41" i="2"/>
  <c r="CD41" i="2"/>
  <c r="CH41" i="2"/>
  <c r="CM41" i="2"/>
  <c r="AW41" i="2"/>
  <c r="BA41" i="2"/>
  <c r="BF41" i="2"/>
  <c r="BJ41" i="2"/>
  <c r="BM41" i="2"/>
  <c r="BR41" i="2"/>
  <c r="BV41" i="2"/>
  <c r="CA41" i="2"/>
  <c r="CE41" i="2"/>
  <c r="CJ41" i="2"/>
  <c r="CN41" i="2"/>
  <c r="AT41" i="2"/>
  <c r="AX41" i="2"/>
  <c r="BC41" i="2"/>
  <c r="BG41" i="2"/>
  <c r="BL41" i="2"/>
  <c r="BO41" i="2"/>
  <c r="BS41" i="2"/>
  <c r="BX41" i="2"/>
  <c r="CB41" i="2"/>
  <c r="CG41" i="2"/>
  <c r="CK41" i="2"/>
  <c r="AU41" i="2"/>
  <c r="AZ41" i="2"/>
  <c r="BD41" i="2"/>
  <c r="BI41" i="2"/>
  <c r="BP73" i="2"/>
  <c r="BM73" i="2"/>
  <c r="BJ73" i="2"/>
  <c r="BG73" i="2"/>
  <c r="BD73" i="2"/>
  <c r="BP72" i="2"/>
  <c r="BM72" i="2"/>
  <c r="BJ72" i="2"/>
  <c r="BG72" i="2"/>
  <c r="BD72" i="2"/>
  <c r="BO73" i="2"/>
  <c r="BL73" i="2"/>
  <c r="BI73" i="2"/>
  <c r="BF73" i="2"/>
  <c r="BC73" i="2"/>
  <c r="BO72" i="2"/>
  <c r="BL72" i="2"/>
  <c r="BI72" i="2"/>
  <c r="BF72" i="2"/>
  <c r="BC72" i="2"/>
  <c r="BN73" i="2"/>
  <c r="BK73" i="2"/>
  <c r="BH73" i="2"/>
  <c r="BE73" i="2"/>
  <c r="BN72" i="2"/>
  <c r="BN77" i="2" s="1"/>
  <c r="BK72" i="2"/>
  <c r="BH72" i="2"/>
  <c r="BE72" i="2"/>
  <c r="BH71" i="2"/>
  <c r="BH70" i="2"/>
  <c r="BP70" i="2"/>
  <c r="BG70" i="2"/>
  <c r="BP71" i="2"/>
  <c r="BM71" i="2"/>
  <c r="BJ71" i="2"/>
  <c r="BG71" i="2"/>
  <c r="BD71" i="2"/>
  <c r="BJ70" i="2"/>
  <c r="BO71" i="2"/>
  <c r="BL71" i="2"/>
  <c r="BI71" i="2"/>
  <c r="BI76" i="2" s="1"/>
  <c r="BF71" i="2"/>
  <c r="BC71" i="2"/>
  <c r="BO70" i="2"/>
  <c r="BL70" i="2"/>
  <c r="BI70" i="2"/>
  <c r="BF70" i="2"/>
  <c r="BC70" i="2"/>
  <c r="BN71" i="2"/>
  <c r="BK71" i="2"/>
  <c r="BE71" i="2"/>
  <c r="BN70" i="2"/>
  <c r="BK70" i="2"/>
  <c r="BE70" i="2"/>
  <c r="BM70" i="2"/>
  <c r="BD70" i="2"/>
  <c r="T70" i="2"/>
  <c r="T75" i="2" s="1"/>
  <c r="AS41" i="2"/>
  <c r="T73" i="2"/>
  <c r="T78" i="2" s="1"/>
  <c r="AS44" i="2"/>
  <c r="U48" i="2"/>
  <c r="V48" i="2" s="1"/>
  <c r="W48" i="2" s="1"/>
  <c r="X48" i="2" s="1"/>
  <c r="Y48" i="2" s="1"/>
  <c r="Z48" i="2" s="1"/>
  <c r="AA48" i="2" s="1"/>
  <c r="AB48" i="2" s="1"/>
  <c r="AC48" i="2" s="1"/>
  <c r="AD48" i="2" s="1"/>
  <c r="AE48" i="2" s="1"/>
  <c r="AF48" i="2" s="1"/>
  <c r="AG48" i="2" s="1"/>
  <c r="AH48" i="2" s="1"/>
  <c r="AI48" i="2" s="1"/>
  <c r="AJ48" i="2" s="1"/>
  <c r="AK48" i="2" s="1"/>
  <c r="U49" i="2"/>
  <c r="V49" i="2" s="1"/>
  <c r="W49" i="2" s="1"/>
  <c r="X49" i="2" s="1"/>
  <c r="E11" i="1"/>
  <c r="V71" i="2"/>
  <c r="AR70" i="2"/>
  <c r="AW71" i="2"/>
  <c r="AA70" i="2"/>
  <c r="Y71" i="2"/>
  <c r="U70" i="2"/>
  <c r="AJ70" i="2"/>
  <c r="V70" i="2"/>
  <c r="AB71" i="2"/>
  <c r="AN70" i="2"/>
  <c r="AV71" i="2"/>
  <c r="AI71" i="2"/>
  <c r="AL70" i="2"/>
  <c r="AR71" i="2"/>
  <c r="AE70" i="2"/>
  <c r="X70" i="2"/>
  <c r="AE71" i="2"/>
  <c r="Z70" i="2"/>
  <c r="AN71" i="2"/>
  <c r="AK71" i="2"/>
  <c r="X71" i="2"/>
  <c r="AC70" i="2"/>
  <c r="AU70" i="2"/>
  <c r="AW70" i="2"/>
  <c r="Z71" i="2"/>
  <c r="AH70" i="2"/>
  <c r="AO71" i="2"/>
  <c r="AS71" i="2"/>
  <c r="AB41" i="2"/>
  <c r="AV70" i="2"/>
  <c r="AF71" i="2"/>
  <c r="AY71" i="2"/>
  <c r="AY70" i="2"/>
  <c r="AJ71" i="2"/>
  <c r="AF70" i="2"/>
  <c r="AP70" i="2"/>
  <c r="AT70" i="2"/>
  <c r="X34" i="2"/>
  <c r="AR41" i="2"/>
  <c r="BB71" i="2"/>
  <c r="AP71" i="2"/>
  <c r="Y70" i="2"/>
  <c r="BA70" i="2"/>
  <c r="W41" i="2"/>
  <c r="AF41" i="2"/>
  <c r="AL41" i="2"/>
  <c r="AI41" i="2"/>
  <c r="AG70" i="2"/>
  <c r="AL71" i="2"/>
  <c r="AZ70" i="2"/>
  <c r="U71" i="2"/>
  <c r="X41" i="2"/>
  <c r="AM70" i="2"/>
  <c r="X33" i="2"/>
  <c r="AO41" i="2"/>
  <c r="AM41" i="2"/>
  <c r="AK41" i="2"/>
  <c r="AP41" i="2"/>
  <c r="AU71" i="2"/>
  <c r="AC71" i="2"/>
  <c r="Y41" i="2"/>
  <c r="AQ71" i="2"/>
  <c r="AD71" i="2"/>
  <c r="V41" i="2"/>
  <c r="AH71" i="2"/>
  <c r="AG71" i="2"/>
  <c r="U41" i="2"/>
  <c r="AQ41" i="2"/>
  <c r="W71" i="2"/>
  <c r="AA71" i="2"/>
  <c r="BB70" i="2"/>
  <c r="Z41" i="2"/>
  <c r="AZ71" i="2"/>
  <c r="AK70" i="2"/>
  <c r="AQ70" i="2"/>
  <c r="AA41" i="2"/>
  <c r="AH41" i="2"/>
  <c r="AE41" i="2"/>
  <c r="W70" i="2"/>
  <c r="AD70" i="2"/>
  <c r="AT71" i="2"/>
  <c r="AM71" i="2"/>
  <c r="AX71" i="2"/>
  <c r="AD41" i="2"/>
  <c r="AJ41" i="2"/>
  <c r="AS70" i="2"/>
  <c r="AB70" i="2"/>
  <c r="BA71" i="2"/>
  <c r="AI70" i="2"/>
  <c r="T41" i="2"/>
  <c r="AN41" i="2"/>
  <c r="AX70" i="2"/>
  <c r="AC41" i="2"/>
  <c r="AO70" i="2"/>
  <c r="AG41" i="2"/>
  <c r="F38" i="2"/>
  <c r="C50" i="2"/>
  <c r="E50" i="2" s="1"/>
  <c r="C42" i="2"/>
  <c r="E42" i="2" s="1"/>
  <c r="C37" i="2"/>
  <c r="E37" i="2" s="1"/>
  <c r="C21" i="2"/>
  <c r="E21" i="2" s="1"/>
  <c r="C9" i="2"/>
  <c r="E9" i="2" s="1"/>
  <c r="F4" i="2"/>
  <c r="F45" i="2"/>
  <c r="F47" i="2"/>
  <c r="F11" i="2"/>
  <c r="F16" i="2"/>
  <c r="F7" i="2"/>
  <c r="C31" i="2"/>
  <c r="E31" i="2" s="1"/>
  <c r="C26" i="2"/>
  <c r="E26" i="2" s="1"/>
  <c r="C41" i="2"/>
  <c r="E41" i="2" s="1"/>
  <c r="F12" i="2"/>
  <c r="F26" i="2"/>
  <c r="F8" i="2"/>
  <c r="F30" i="2"/>
  <c r="F41" i="2"/>
  <c r="F33" i="2"/>
  <c r="C40" i="2"/>
  <c r="E40" i="2" s="1"/>
  <c r="C2" i="2"/>
  <c r="E2" i="2" s="1"/>
  <c r="C13" i="2"/>
  <c r="E13" i="2" s="1"/>
  <c r="C7" i="2"/>
  <c r="E7" i="2" s="1"/>
  <c r="C47" i="2"/>
  <c r="E47" i="2" s="1"/>
  <c r="C14" i="2"/>
  <c r="E14" i="2" s="1"/>
  <c r="F49" i="2"/>
  <c r="F37" i="2"/>
  <c r="F17" i="2"/>
  <c r="F24" i="2"/>
  <c r="F3" i="2"/>
  <c r="F32" i="2"/>
  <c r="U55" i="2"/>
  <c r="U56" i="2"/>
  <c r="C30" i="2"/>
  <c r="E30" i="2" s="1"/>
  <c r="C23" i="2"/>
  <c r="E23" i="2" s="1"/>
  <c r="C29" i="2"/>
  <c r="E29" i="2" s="1"/>
  <c r="C33" i="2"/>
  <c r="E33" i="2" s="1"/>
  <c r="C11" i="2"/>
  <c r="E11" i="2" s="1"/>
  <c r="C39" i="2"/>
  <c r="E39" i="2" s="1"/>
  <c r="F23" i="2"/>
  <c r="F6" i="2"/>
  <c r="F35" i="2"/>
  <c r="F28" i="2"/>
  <c r="F2" i="2"/>
  <c r="C17" i="2"/>
  <c r="E17" i="2" s="1"/>
  <c r="C5" i="2"/>
  <c r="E5" i="2" s="1"/>
  <c r="C48" i="2"/>
  <c r="E48" i="2" s="1"/>
  <c r="C19" i="2"/>
  <c r="E19" i="2" s="1"/>
  <c r="F21" i="2"/>
  <c r="F19" i="2"/>
  <c r="F13" i="2"/>
  <c r="F15" i="2"/>
  <c r="F43" i="2"/>
  <c r="C8" i="2"/>
  <c r="E8" i="2" s="1"/>
  <c r="C45" i="2"/>
  <c r="E45" i="2" s="1"/>
  <c r="C43" i="2"/>
  <c r="E43" i="2" s="1"/>
  <c r="C10" i="2"/>
  <c r="E10" i="2" s="1"/>
  <c r="C15" i="2"/>
  <c r="E15" i="2" s="1"/>
  <c r="C24" i="2"/>
  <c r="E24" i="2" s="1"/>
  <c r="C28" i="2"/>
  <c r="E28" i="2" s="1"/>
  <c r="F42" i="2"/>
  <c r="F36" i="2"/>
  <c r="F46" i="2"/>
  <c r="F10" i="2"/>
  <c r="F25" i="2"/>
  <c r="D185" i="2"/>
  <c r="D188" i="2" s="1"/>
  <c r="D189" i="2" s="1"/>
  <c r="AD44" i="2"/>
  <c r="AN44" i="2"/>
  <c r="X44" i="2"/>
  <c r="Z44" i="2"/>
  <c r="AG44" i="2"/>
  <c r="AK44" i="2"/>
  <c r="AB44" i="2"/>
  <c r="AQ44" i="2"/>
  <c r="AC73" i="2"/>
  <c r="AE73" i="2"/>
  <c r="AZ72" i="2"/>
  <c r="AL73" i="2"/>
  <c r="AT73" i="2"/>
  <c r="X73" i="2"/>
  <c r="AQ72" i="2"/>
  <c r="AI73" i="2"/>
  <c r="Z73" i="2"/>
  <c r="AX73" i="2"/>
  <c r="AY73" i="2"/>
  <c r="AC72" i="2"/>
  <c r="AW72" i="2"/>
  <c r="V72" i="2"/>
  <c r="AP73" i="2"/>
  <c r="AM72" i="2"/>
  <c r="Y44" i="2"/>
  <c r="U44" i="2"/>
  <c r="V44" i="2"/>
  <c r="AA44" i="2"/>
  <c r="AH44" i="2"/>
  <c r="E21" i="1"/>
  <c r="AM44" i="2"/>
  <c r="W44" i="2"/>
  <c r="AP44" i="2"/>
  <c r="AC44" i="2"/>
  <c r="AF44" i="2"/>
  <c r="AI44" i="2"/>
  <c r="AL44" i="2"/>
  <c r="AO44" i="2"/>
  <c r="AR44" i="2"/>
  <c r="T44" i="2"/>
  <c r="BA73" i="2"/>
  <c r="AS72" i="2"/>
  <c r="AL72" i="2"/>
  <c r="AG72" i="2"/>
  <c r="AX72" i="2"/>
  <c r="AX77" i="2" s="1"/>
  <c r="AJ44" i="2"/>
  <c r="AE44" i="2"/>
  <c r="X72" i="2"/>
  <c r="AP72" i="2"/>
  <c r="AH73" i="2"/>
  <c r="AN73" i="2"/>
  <c r="AD73" i="2"/>
  <c r="Z72" i="2"/>
  <c r="AR73" i="2"/>
  <c r="AU73" i="2"/>
  <c r="AJ72" i="2"/>
  <c r="AA72" i="2"/>
  <c r="AW73" i="2"/>
  <c r="AQ73" i="2"/>
  <c r="AJ73" i="2"/>
  <c r="AD72" i="2"/>
  <c r="AA73" i="2"/>
  <c r="Y73" i="2"/>
  <c r="AH72" i="2"/>
  <c r="AB73" i="2"/>
  <c r="W73" i="2"/>
  <c r="BB72" i="2"/>
  <c r="BB73" i="2"/>
  <c r="X35" i="2"/>
  <c r="X36" i="2"/>
  <c r="AT72" i="2"/>
  <c r="W72" i="2"/>
  <c r="V73" i="2"/>
  <c r="AN72" i="2"/>
  <c r="AO72" i="2"/>
  <c r="AB72" i="2"/>
  <c r="AV73" i="2"/>
  <c r="AU72" i="2"/>
  <c r="AS73" i="2"/>
  <c r="U73" i="2"/>
  <c r="AG73" i="2"/>
  <c r="AZ73" i="2"/>
  <c r="Y72" i="2"/>
  <c r="AR72" i="2"/>
  <c r="AV72" i="2"/>
  <c r="U72" i="2"/>
  <c r="AK73" i="2"/>
  <c r="AO73" i="2"/>
  <c r="AY72" i="2"/>
  <c r="AE72" i="2"/>
  <c r="AF73" i="2"/>
  <c r="BA72" i="2"/>
  <c r="BA77" i="2" s="1"/>
  <c r="AM73" i="2"/>
  <c r="AF72" i="2"/>
  <c r="AK72" i="2"/>
  <c r="AI72" i="2"/>
  <c r="T72" i="2"/>
  <c r="T77" i="2" s="1"/>
  <c r="T71" i="2"/>
  <c r="T76" i="2" s="1"/>
  <c r="AK7" i="2"/>
  <c r="R133" i="2"/>
  <c r="AK8" i="2"/>
  <c r="R130" i="2"/>
  <c r="I2" i="2"/>
  <c r="D6" i="2" s="1"/>
  <c r="C22" i="2"/>
  <c r="E22" i="2" s="1"/>
  <c r="H6" i="2"/>
  <c r="F22" i="2"/>
  <c r="H5" i="2"/>
  <c r="C38" i="2"/>
  <c r="C51" i="2"/>
  <c r="E51" i="2" s="1"/>
  <c r="C32" i="2"/>
  <c r="E32" i="2" s="1"/>
  <c r="C4" i="2"/>
  <c r="E4" i="2" s="1"/>
  <c r="C12" i="2"/>
  <c r="E12" i="2" s="1"/>
  <c r="C27" i="2"/>
  <c r="E27" i="2" s="1"/>
  <c r="C16" i="2"/>
  <c r="E16" i="2" s="1"/>
  <c r="F5" i="2"/>
  <c r="F9" i="2"/>
  <c r="F18" i="2"/>
  <c r="F50" i="2"/>
  <c r="F40" i="2"/>
  <c r="C49" i="2"/>
  <c r="E49" i="2" s="1"/>
  <c r="C35" i="2"/>
  <c r="E35" i="2" s="1"/>
  <c r="C44" i="2"/>
  <c r="E44" i="2" s="1"/>
  <c r="C3" i="2"/>
  <c r="E3" i="2" s="1"/>
  <c r="F31" i="2"/>
  <c r="F39" i="2"/>
  <c r="F51" i="2"/>
  <c r="F44" i="2"/>
  <c r="F29" i="2"/>
  <c r="C36" i="2"/>
  <c r="E36" i="2" s="1"/>
  <c r="C25" i="2"/>
  <c r="E25" i="2" s="1"/>
  <c r="C46" i="2"/>
  <c r="E46" i="2" s="1"/>
  <c r="C20" i="2"/>
  <c r="E20" i="2" s="1"/>
  <c r="C6" i="2"/>
  <c r="E6" i="2" s="1"/>
  <c r="C18" i="2"/>
  <c r="E18" i="2" s="1"/>
  <c r="C34" i="2"/>
  <c r="E34" i="2" s="1"/>
  <c r="F14" i="2"/>
  <c r="F48" i="2"/>
  <c r="F27" i="2"/>
  <c r="F34" i="2"/>
  <c r="T94" i="2"/>
  <c r="U110" i="2" s="1"/>
  <c r="R11" i="2"/>
  <c r="U59" i="2"/>
  <c r="U53" i="2"/>
  <c r="U52" i="2"/>
  <c r="V56" i="2" l="1"/>
  <c r="BK75" i="2"/>
  <c r="BN76" i="2"/>
  <c r="BE77" i="2"/>
  <c r="BA76" i="2"/>
  <c r="BH77" i="2"/>
  <c r="AP8" i="1"/>
  <c r="AP6" i="1"/>
  <c r="N8" i="1" s="1"/>
  <c r="N7" i="1"/>
  <c r="AS45" i="2"/>
  <c r="AT45" i="2"/>
  <c r="AW45" i="2"/>
  <c r="AZ45" i="2"/>
  <c r="BC45" i="2"/>
  <c r="BF45" i="2"/>
  <c r="BI45" i="2"/>
  <c r="BL45" i="2"/>
  <c r="BO45" i="2"/>
  <c r="BR45" i="2"/>
  <c r="BU45" i="2"/>
  <c r="BX45" i="2"/>
  <c r="CA45" i="2"/>
  <c r="CD45" i="2"/>
  <c r="CG45" i="2"/>
  <c r="CJ45" i="2"/>
  <c r="CM45" i="2"/>
  <c r="CP45" i="2"/>
  <c r="CS45" i="2"/>
  <c r="AU45" i="2"/>
  <c r="AX45" i="2"/>
  <c r="BA45" i="2"/>
  <c r="BD45" i="2"/>
  <c r="BG45" i="2"/>
  <c r="BJ45" i="2"/>
  <c r="BM45" i="2"/>
  <c r="BP45" i="2"/>
  <c r="BS45" i="2"/>
  <c r="BV45" i="2"/>
  <c r="BY45" i="2"/>
  <c r="CB45" i="2"/>
  <c r="CE45" i="2"/>
  <c r="CH45" i="2"/>
  <c r="CK45" i="2"/>
  <c r="CN45" i="2"/>
  <c r="CQ45" i="2"/>
  <c r="CT45" i="2"/>
  <c r="AV45" i="2"/>
  <c r="AY45" i="2"/>
  <c r="BB45" i="2"/>
  <c r="BE45" i="2"/>
  <c r="BH45" i="2"/>
  <c r="BK45" i="2"/>
  <c r="BN45" i="2"/>
  <c r="BQ45" i="2"/>
  <c r="BT45" i="2"/>
  <c r="BW45" i="2"/>
  <c r="BZ45" i="2"/>
  <c r="CC45" i="2"/>
  <c r="CF45" i="2"/>
  <c r="CI45" i="2"/>
  <c r="CL45" i="2"/>
  <c r="CO45" i="2"/>
  <c r="CR45" i="2"/>
  <c r="AS43" i="2"/>
  <c r="CO43" i="2"/>
  <c r="CR43" i="2"/>
  <c r="CP43" i="2"/>
  <c r="CS43" i="2"/>
  <c r="CQ43" i="2"/>
  <c r="CT43" i="2"/>
  <c r="BO43" i="2"/>
  <c r="BR43" i="2"/>
  <c r="BU43" i="2"/>
  <c r="BX43" i="2"/>
  <c r="CA43" i="2"/>
  <c r="CD43" i="2"/>
  <c r="CG43" i="2"/>
  <c r="CJ43" i="2"/>
  <c r="CM43" i="2"/>
  <c r="AT43" i="2"/>
  <c r="AW43" i="2"/>
  <c r="AZ43" i="2"/>
  <c r="BC43" i="2"/>
  <c r="BF43" i="2"/>
  <c r="BI43" i="2"/>
  <c r="BL43" i="2"/>
  <c r="BN43" i="2"/>
  <c r="BS43" i="2"/>
  <c r="BW43" i="2"/>
  <c r="CB43" i="2"/>
  <c r="CF43" i="2"/>
  <c r="CK43" i="2"/>
  <c r="AU43" i="2"/>
  <c r="AY43" i="2"/>
  <c r="BD43" i="2"/>
  <c r="BH43" i="2"/>
  <c r="BP43" i="2"/>
  <c r="BT43" i="2"/>
  <c r="BY43" i="2"/>
  <c r="CC43" i="2"/>
  <c r="CH43" i="2"/>
  <c r="CL43" i="2"/>
  <c r="AV43" i="2"/>
  <c r="BA43" i="2"/>
  <c r="BE43" i="2"/>
  <c r="BJ43" i="2"/>
  <c r="BM43" i="2"/>
  <c r="BQ43" i="2"/>
  <c r="BV43" i="2"/>
  <c r="BZ43" i="2"/>
  <c r="CE43" i="2"/>
  <c r="CI43" i="2"/>
  <c r="CN43" i="2"/>
  <c r="AX43" i="2"/>
  <c r="BB43" i="2"/>
  <c r="BG43" i="2"/>
  <c r="BK43" i="2"/>
  <c r="AS40" i="2"/>
  <c r="CO40" i="2"/>
  <c r="CR40" i="2"/>
  <c r="BM40" i="2"/>
  <c r="BP40" i="2"/>
  <c r="CP40" i="2"/>
  <c r="CS40" i="2"/>
  <c r="CQ40" i="2"/>
  <c r="CT40" i="2"/>
  <c r="BO40" i="2"/>
  <c r="BR40" i="2"/>
  <c r="BU40" i="2"/>
  <c r="BX40" i="2"/>
  <c r="CA40" i="2"/>
  <c r="CD40" i="2"/>
  <c r="CG40" i="2"/>
  <c r="CJ40" i="2"/>
  <c r="CM40" i="2"/>
  <c r="AT40" i="2"/>
  <c r="AW40" i="2"/>
  <c r="AZ40" i="2"/>
  <c r="BC40" i="2"/>
  <c r="BF40" i="2"/>
  <c r="BI40" i="2"/>
  <c r="BL40" i="2"/>
  <c r="BQ40" i="2"/>
  <c r="BV40" i="2"/>
  <c r="BZ40" i="2"/>
  <c r="CE40" i="2"/>
  <c r="CI40" i="2"/>
  <c r="CN40" i="2"/>
  <c r="AX40" i="2"/>
  <c r="BB40" i="2"/>
  <c r="BG40" i="2"/>
  <c r="BK40" i="2"/>
  <c r="BS40" i="2"/>
  <c r="BW40" i="2"/>
  <c r="CB40" i="2"/>
  <c r="CF40" i="2"/>
  <c r="CK40" i="2"/>
  <c r="AU40" i="2"/>
  <c r="AY40" i="2"/>
  <c r="BD40" i="2"/>
  <c r="BH40" i="2"/>
  <c r="BN40" i="2"/>
  <c r="BT40" i="2"/>
  <c r="BY40" i="2"/>
  <c r="CC40" i="2"/>
  <c r="CH40" i="2"/>
  <c r="CL40" i="2"/>
  <c r="AV40" i="2"/>
  <c r="BA40" i="2"/>
  <c r="BE40" i="2"/>
  <c r="BJ40" i="2"/>
  <c r="AS42" i="2"/>
  <c r="CO42" i="2"/>
  <c r="CR42" i="2"/>
  <c r="CP42" i="2"/>
  <c r="CS42" i="2"/>
  <c r="CQ42" i="2"/>
  <c r="CT42" i="2"/>
  <c r="BM42" i="2"/>
  <c r="BP42" i="2"/>
  <c r="BS42" i="2"/>
  <c r="BV42" i="2"/>
  <c r="BY42" i="2"/>
  <c r="CB42" i="2"/>
  <c r="CE42" i="2"/>
  <c r="CH42" i="2"/>
  <c r="CK42" i="2"/>
  <c r="CN42" i="2"/>
  <c r="AU42" i="2"/>
  <c r="AX42" i="2"/>
  <c r="BA42" i="2"/>
  <c r="BD42" i="2"/>
  <c r="BG42" i="2"/>
  <c r="BJ42" i="2"/>
  <c r="BO42" i="2"/>
  <c r="BT42" i="2"/>
  <c r="BX42" i="2"/>
  <c r="CC42" i="2"/>
  <c r="CG42" i="2"/>
  <c r="CL42" i="2"/>
  <c r="AV42" i="2"/>
  <c r="AZ42" i="2"/>
  <c r="BE42" i="2"/>
  <c r="BI42" i="2"/>
  <c r="BQ42" i="2"/>
  <c r="BU42" i="2"/>
  <c r="BZ42" i="2"/>
  <c r="CD42" i="2"/>
  <c r="CI42" i="2"/>
  <c r="CM42" i="2"/>
  <c r="AW42" i="2"/>
  <c r="BB42" i="2"/>
  <c r="BF42" i="2"/>
  <c r="BK42" i="2"/>
  <c r="BN42" i="2"/>
  <c r="BR42" i="2"/>
  <c r="BW42" i="2"/>
  <c r="CA42" i="2"/>
  <c r="CF42" i="2"/>
  <c r="CJ42" i="2"/>
  <c r="AT42" i="2"/>
  <c r="AY42" i="2"/>
  <c r="BC42" i="2"/>
  <c r="BH42" i="2"/>
  <c r="BL42" i="2"/>
  <c r="BH78" i="2"/>
  <c r="BI78" i="2" s="1"/>
  <c r="BE76" i="2"/>
  <c r="BD75" i="2"/>
  <c r="BJ75" i="2"/>
  <c r="BH76" i="2"/>
  <c r="BI75" i="2"/>
  <c r="BK78" i="2"/>
  <c r="BJ77" i="2"/>
  <c r="BK77" i="2" s="1"/>
  <c r="BD78" i="2"/>
  <c r="BE78" i="2" s="1"/>
  <c r="BF78" i="2" s="1"/>
  <c r="BG78" i="2" s="1"/>
  <c r="BE75" i="2"/>
  <c r="BF75" i="2" s="1"/>
  <c r="BG75" i="2" s="1"/>
  <c r="BL75" i="2"/>
  <c r="BM75" i="2" s="1"/>
  <c r="BN75" i="2" s="1"/>
  <c r="BO75" i="2" s="1"/>
  <c r="BP75" i="2" s="1"/>
  <c r="BF76" i="2"/>
  <c r="BO76" i="2"/>
  <c r="BG76" i="2"/>
  <c r="BQ76" i="2"/>
  <c r="BP76" i="2"/>
  <c r="BH75" i="2"/>
  <c r="BI77" i="2"/>
  <c r="BL78" i="2"/>
  <c r="BM78" i="2" s="1"/>
  <c r="BN78" i="2" s="1"/>
  <c r="BO78" i="2" s="1"/>
  <c r="BP78" i="2" s="1"/>
  <c r="BQ77" i="2"/>
  <c r="BP77" i="2"/>
  <c r="BJ78" i="2"/>
  <c r="BJ76" i="2"/>
  <c r="BK76" i="2" s="1"/>
  <c r="BL77" i="2"/>
  <c r="BL76" i="2"/>
  <c r="BM76" i="2"/>
  <c r="BQ75" i="2"/>
  <c r="BF77" i="2"/>
  <c r="BG77" i="2" s="1"/>
  <c r="BO77" i="2"/>
  <c r="BD77" i="2"/>
  <c r="BM77" i="2"/>
  <c r="BQ78" i="2"/>
  <c r="U78" i="2"/>
  <c r="V78" i="2" s="1"/>
  <c r="U75" i="2"/>
  <c r="V75" i="2" s="1"/>
  <c r="W75" i="2" s="1"/>
  <c r="X75" i="2" s="1"/>
  <c r="Y75" i="2" s="1"/>
  <c r="Z75" i="2" s="1"/>
  <c r="AA75" i="2" s="1"/>
  <c r="AB75" i="2" s="1"/>
  <c r="AC75" i="2" s="1"/>
  <c r="AD75" i="2" s="1"/>
  <c r="AE75" i="2" s="1"/>
  <c r="AF75" i="2" s="1"/>
  <c r="AG75" i="2" s="1"/>
  <c r="AH75" i="2" s="1"/>
  <c r="AI75" i="2" s="1"/>
  <c r="AJ75" i="2" s="1"/>
  <c r="AK75" i="2" s="1"/>
  <c r="AL75" i="2" s="1"/>
  <c r="AM75" i="2" s="1"/>
  <c r="AN75" i="2" s="1"/>
  <c r="AO75" i="2" s="1"/>
  <c r="AP75" i="2" s="1"/>
  <c r="AQ75" i="2" s="1"/>
  <c r="AR75" i="2" s="1"/>
  <c r="AS75" i="2" s="1"/>
  <c r="D43" i="2"/>
  <c r="AY77" i="2"/>
  <c r="AX76" i="2"/>
  <c r="D42" i="2"/>
  <c r="D41" i="2"/>
  <c r="D24" i="2"/>
  <c r="D21" i="2"/>
  <c r="D10" i="2"/>
  <c r="D35" i="2"/>
  <c r="D28" i="2"/>
  <c r="D29" i="2"/>
  <c r="D8" i="2"/>
  <c r="D27" i="2"/>
  <c r="D23" i="2"/>
  <c r="AV77" i="2"/>
  <c r="AT77" i="2"/>
  <c r="AU77" i="2" s="1"/>
  <c r="U77" i="2"/>
  <c r="AU76" i="2"/>
  <c r="X4" i="1"/>
  <c r="Z4" i="1"/>
  <c r="X6" i="1"/>
  <c r="E191" i="2"/>
  <c r="D192" i="2" s="1"/>
  <c r="H192" i="2" s="1"/>
  <c r="D187" i="2"/>
  <c r="H191" i="2"/>
  <c r="BC78" i="2"/>
  <c r="AZ77" i="2"/>
  <c r="BC75" i="2"/>
  <c r="AM42" i="2"/>
  <c r="AP42" i="2"/>
  <c r="S11" i="1"/>
  <c r="AJ42" i="2"/>
  <c r="Z42" i="2"/>
  <c r="AC42" i="2"/>
  <c r="AQ42" i="2"/>
  <c r="X42" i="2"/>
  <c r="Y42" i="2"/>
  <c r="T42" i="2"/>
  <c r="AL42" i="2"/>
  <c r="AN42" i="2"/>
  <c r="W42" i="2"/>
  <c r="AO42" i="2"/>
  <c r="AI42" i="2"/>
  <c r="AE42" i="2"/>
  <c r="AK42" i="2"/>
  <c r="AF42" i="2"/>
  <c r="AA42" i="2"/>
  <c r="AD42" i="2"/>
  <c r="AH42" i="2"/>
  <c r="AG42" i="2"/>
  <c r="U42" i="2"/>
  <c r="AR42" i="2"/>
  <c r="V42" i="2"/>
  <c r="AB42" i="2"/>
  <c r="AY76" i="2"/>
  <c r="AV76" i="2"/>
  <c r="AW76" i="2" s="1"/>
  <c r="U50" i="2"/>
  <c r="X3" i="1" s="1"/>
  <c r="D3" i="2"/>
  <c r="D51" i="2"/>
  <c r="D5" i="2"/>
  <c r="D12" i="2"/>
  <c r="D11" i="2"/>
  <c r="D19" i="2"/>
  <c r="D40" i="2"/>
  <c r="D26" i="2"/>
  <c r="D7" i="2"/>
  <c r="AD45" i="2"/>
  <c r="AL45" i="2"/>
  <c r="AA45" i="2"/>
  <c r="X45" i="2"/>
  <c r="AG45" i="2"/>
  <c r="T45" i="2"/>
  <c r="AO45" i="2"/>
  <c r="U45" i="2"/>
  <c r="AN45" i="2"/>
  <c r="AC45" i="2"/>
  <c r="AR45" i="2"/>
  <c r="S21" i="1"/>
  <c r="V45" i="2"/>
  <c r="AP45" i="2"/>
  <c r="Z45" i="2"/>
  <c r="AE45" i="2"/>
  <c r="AJ45" i="2"/>
  <c r="AQ45" i="2"/>
  <c r="W45" i="2"/>
  <c r="AK45" i="2"/>
  <c r="AI45" i="2"/>
  <c r="AF45" i="2"/>
  <c r="AH45" i="2"/>
  <c r="AB45" i="2"/>
  <c r="AM45" i="2"/>
  <c r="Y45" i="2"/>
  <c r="V77" i="2"/>
  <c r="AT78" i="2"/>
  <c r="AU78" i="2" s="1"/>
  <c r="AV78" i="2" s="1"/>
  <c r="AW78" i="2" s="1"/>
  <c r="AX78" i="2" s="1"/>
  <c r="AY78" i="2" s="1"/>
  <c r="AZ78" i="2" s="1"/>
  <c r="BA78" i="2" s="1"/>
  <c r="BB78" i="2" s="1"/>
  <c r="AZ76" i="2"/>
  <c r="BB76" i="2"/>
  <c r="BC76" i="2"/>
  <c r="BD76" i="2" s="1"/>
  <c r="AT75" i="2"/>
  <c r="AU75" i="2" s="1"/>
  <c r="AV75" i="2" s="1"/>
  <c r="AW75" i="2" s="1"/>
  <c r="AX75" i="2" s="1"/>
  <c r="AY75" i="2" s="1"/>
  <c r="AZ75" i="2" s="1"/>
  <c r="BA75" i="2" s="1"/>
  <c r="BB75" i="2" s="1"/>
  <c r="D9" i="2"/>
  <c r="D32" i="2"/>
  <c r="E38" i="2"/>
  <c r="D22" i="2"/>
  <c r="D15" i="2"/>
  <c r="D36" i="2"/>
  <c r="D13" i="2"/>
  <c r="D33" i="2"/>
  <c r="D44" i="2"/>
  <c r="D34" i="2"/>
  <c r="D20" i="2"/>
  <c r="D17" i="2"/>
  <c r="D31" i="2"/>
  <c r="BB77" i="2"/>
  <c r="BC77" i="2" s="1"/>
  <c r="U57" i="2"/>
  <c r="Z3" i="1" s="1"/>
  <c r="D38" i="2"/>
  <c r="D47" i="2"/>
  <c r="D37" i="2"/>
  <c r="D48" i="2"/>
  <c r="D49" i="2"/>
  <c r="D39" i="2"/>
  <c r="D16" i="2"/>
  <c r="D45" i="2"/>
  <c r="D14" i="2"/>
  <c r="D2" i="2"/>
  <c r="D18" i="2"/>
  <c r="D46" i="2"/>
  <c r="D30" i="2"/>
  <c r="D25" i="2"/>
  <c r="D50" i="2"/>
  <c r="D4" i="2"/>
  <c r="W77" i="2"/>
  <c r="X77" i="2" s="1"/>
  <c r="Y77" i="2" s="1"/>
  <c r="Z77" i="2" s="1"/>
  <c r="AA77" i="2" s="1"/>
  <c r="AB77" i="2" s="1"/>
  <c r="AC77" i="2" s="1"/>
  <c r="AD77" i="2" s="1"/>
  <c r="AE77" i="2" s="1"/>
  <c r="AF77" i="2" s="1"/>
  <c r="AG77" i="2" s="1"/>
  <c r="AH77" i="2" s="1"/>
  <c r="AI77" i="2" s="1"/>
  <c r="AJ77" i="2" s="1"/>
  <c r="AK77" i="2" s="1"/>
  <c r="AL77" i="2" s="1"/>
  <c r="AM77" i="2" s="1"/>
  <c r="AN77" i="2" s="1"/>
  <c r="AO77" i="2" s="1"/>
  <c r="AP77" i="2" s="1"/>
  <c r="AQ77" i="2" s="1"/>
  <c r="AR77" i="2" s="1"/>
  <c r="AN43" i="2"/>
  <c r="AR43" i="2"/>
  <c r="Y43" i="2"/>
  <c r="AI43" i="2"/>
  <c r="W43" i="2"/>
  <c r="AD43" i="2"/>
  <c r="AB43" i="2"/>
  <c r="U43" i="2"/>
  <c r="L21" i="1"/>
  <c r="AL43" i="2"/>
  <c r="X43" i="2"/>
  <c r="AH43" i="2"/>
  <c r="AQ43" i="2"/>
  <c r="AC43" i="2"/>
  <c r="T43" i="2"/>
  <c r="AK43" i="2"/>
  <c r="AP43" i="2"/>
  <c r="AA43" i="2"/>
  <c r="AM43" i="2"/>
  <c r="AF43" i="2"/>
  <c r="AG43" i="2"/>
  <c r="V43" i="2"/>
  <c r="AJ43" i="2"/>
  <c r="AO43" i="2"/>
  <c r="AE43" i="2"/>
  <c r="Z43" i="2"/>
  <c r="W78" i="2"/>
  <c r="X78" i="2" s="1"/>
  <c r="Y78" i="2" s="1"/>
  <c r="Z78" i="2" s="1"/>
  <c r="AA78" i="2" s="1"/>
  <c r="AB78" i="2" s="1"/>
  <c r="AC78" i="2" s="1"/>
  <c r="AD78" i="2" s="1"/>
  <c r="AE78" i="2" s="1"/>
  <c r="AF78" i="2" s="1"/>
  <c r="AG78" i="2" s="1"/>
  <c r="AH78" i="2" s="1"/>
  <c r="AI78" i="2" s="1"/>
  <c r="AJ78" i="2" s="1"/>
  <c r="AK78" i="2" s="1"/>
  <c r="AL78" i="2" s="1"/>
  <c r="AM78" i="2" s="1"/>
  <c r="AN78" i="2" s="1"/>
  <c r="AO78" i="2" s="1"/>
  <c r="AP78" i="2" s="1"/>
  <c r="AQ78" i="2" s="1"/>
  <c r="AR78" i="2" s="1"/>
  <c r="AS78" i="2" s="1"/>
  <c r="AS77" i="2"/>
  <c r="AW77" i="2"/>
  <c r="AT76" i="2"/>
  <c r="T40" i="2"/>
  <c r="V40" i="2"/>
  <c r="AO40" i="2"/>
  <c r="AB40" i="2"/>
  <c r="AD40" i="2"/>
  <c r="AQ40" i="2"/>
  <c r="AA40" i="2"/>
  <c r="AI40" i="2"/>
  <c r="AK40" i="2"/>
  <c r="AN40" i="2"/>
  <c r="AE40" i="2"/>
  <c r="L11" i="1"/>
  <c r="Y40" i="2"/>
  <c r="W40" i="2"/>
  <c r="AR40" i="2"/>
  <c r="X40" i="2"/>
  <c r="AF40" i="2"/>
  <c r="AP40" i="2"/>
  <c r="Z40" i="2"/>
  <c r="AG40" i="2"/>
  <c r="U40" i="2"/>
  <c r="AC40" i="2"/>
  <c r="AM40" i="2"/>
  <c r="AH40" i="2"/>
  <c r="AJ40" i="2"/>
  <c r="AL40" i="2"/>
  <c r="U76" i="2"/>
  <c r="V76" i="2" s="1"/>
  <c r="W76" i="2" s="1"/>
  <c r="X76" i="2" s="1"/>
  <c r="Y76" i="2" s="1"/>
  <c r="Z76" i="2" s="1"/>
  <c r="AA76" i="2" s="1"/>
  <c r="AB76" i="2" s="1"/>
  <c r="AC76" i="2" s="1"/>
  <c r="AD76" i="2" s="1"/>
  <c r="AE76" i="2" s="1"/>
  <c r="AF76" i="2" s="1"/>
  <c r="AG76" i="2" s="1"/>
  <c r="AH76" i="2" s="1"/>
  <c r="AI76" i="2" s="1"/>
  <c r="AJ76" i="2" s="1"/>
  <c r="AK76" i="2" s="1"/>
  <c r="AL76" i="2" s="1"/>
  <c r="AM76" i="2" s="1"/>
  <c r="AN76" i="2" s="1"/>
  <c r="AO76" i="2" s="1"/>
  <c r="AP76" i="2" s="1"/>
  <c r="AQ76" i="2" s="1"/>
  <c r="AR76" i="2" s="1"/>
  <c r="AS76" i="2" s="1"/>
  <c r="U51" i="2"/>
  <c r="X5" i="1" s="1"/>
  <c r="T67" i="2"/>
  <c r="W56" i="2" l="1"/>
  <c r="Z7" i="1"/>
  <c r="T81" i="2"/>
  <c r="X9" i="1" s="1"/>
  <c r="R13" i="2" s="1"/>
  <c r="T82" i="2"/>
  <c r="U82" i="2" s="1"/>
  <c r="T83" i="2"/>
  <c r="T105" i="2" s="1"/>
  <c r="U121" i="2" s="1"/>
  <c r="S7" i="2"/>
  <c r="T95" i="2"/>
  <c r="U111" i="2" s="1"/>
  <c r="T92" i="2"/>
  <c r="R7" i="2"/>
  <c r="E192" i="2"/>
  <c r="F192" i="2" s="1"/>
  <c r="T80" i="2"/>
  <c r="T93" i="2"/>
  <c r="U109" i="2" s="1"/>
  <c r="R9" i="2"/>
  <c r="X56" i="2" l="1"/>
  <c r="T97" i="2"/>
  <c r="U113" i="2" s="1"/>
  <c r="S11" i="2"/>
  <c r="U81" i="2"/>
  <c r="T103" i="2"/>
  <c r="U119" i="2" s="1"/>
  <c r="T104" i="2"/>
  <c r="U120" i="2" s="1"/>
  <c r="Z120" i="2" s="1"/>
  <c r="Z8" i="1"/>
  <c r="S12" i="2" s="1"/>
  <c r="Z9" i="1"/>
  <c r="S13" i="2" s="1"/>
  <c r="U83" i="2"/>
  <c r="X8" i="1"/>
  <c r="R12" i="2" s="1"/>
  <c r="T102" i="2"/>
  <c r="U118" i="2" s="1"/>
  <c r="U80" i="2"/>
  <c r="G192" i="2"/>
  <c r="D193" i="2"/>
  <c r="H193" i="2" s="1"/>
  <c r="U108" i="2"/>
  <c r="Z108" i="2" s="1"/>
  <c r="Y56" i="2" l="1"/>
  <c r="Z118" i="2"/>
  <c r="E193" i="2"/>
  <c r="F193" i="2" s="1"/>
  <c r="Z56" i="2" l="1"/>
  <c r="G193" i="2"/>
  <c r="D194" i="2"/>
  <c r="H194" i="2" s="1"/>
  <c r="AA56" i="2" l="1"/>
  <c r="E194" i="2"/>
  <c r="F194" i="2" s="1"/>
  <c r="AB56" i="2" l="1"/>
  <c r="G194" i="2"/>
  <c r="D195" i="2"/>
  <c r="H195" i="2" s="1"/>
  <c r="AC56" i="2" l="1"/>
  <c r="E195" i="2"/>
  <c r="F195" i="2" s="1"/>
  <c r="AD56" i="2" l="1"/>
  <c r="G195" i="2"/>
  <c r="D196" i="2"/>
  <c r="H196" i="2" s="1"/>
  <c r="AE56" i="2" l="1"/>
  <c r="E196" i="2"/>
  <c r="F196" i="2" s="1"/>
  <c r="AF56" i="2" l="1"/>
  <c r="G196" i="2"/>
  <c r="D197" i="2"/>
  <c r="H197" i="2" s="1"/>
  <c r="AG56" i="2" l="1"/>
  <c r="E197" i="2"/>
  <c r="F197" i="2" s="1"/>
  <c r="AH56" i="2" l="1"/>
  <c r="G197" i="2"/>
  <c r="D198" i="2"/>
  <c r="H198" i="2" s="1"/>
  <c r="AI56" i="2" l="1"/>
  <c r="E198" i="2"/>
  <c r="F198" i="2" s="1"/>
  <c r="U60" i="2"/>
  <c r="Z6" i="1" l="1"/>
  <c r="U58" i="2"/>
  <c r="Z5" i="1" s="1"/>
  <c r="G198" i="2"/>
  <c r="D199" i="2"/>
  <c r="H199" i="2" s="1"/>
  <c r="T96" i="2" l="1"/>
  <c r="S9" i="2"/>
  <c r="R15" i="2" s="1"/>
  <c r="E199" i="2"/>
  <c r="F199" i="2" s="1"/>
  <c r="W44" i="1" l="1"/>
  <c r="U45" i="1"/>
  <c r="AX5" i="1"/>
  <c r="W45" i="1"/>
  <c r="F8" i="1"/>
  <c r="U44" i="1"/>
  <c r="U46" i="1" s="1"/>
  <c r="U47" i="1" s="1"/>
  <c r="F7" i="1"/>
  <c r="W46" i="1"/>
  <c r="W47" i="1" s="1"/>
  <c r="U112" i="2"/>
  <c r="Z111" i="2" s="1"/>
  <c r="T106" i="2"/>
  <c r="G199" i="2"/>
  <c r="D200" i="2"/>
  <c r="H200" i="2" s="1"/>
  <c r="L173" i="2" l="1"/>
  <c r="S171" i="2"/>
  <c r="N171" i="2"/>
  <c r="T172" i="2"/>
  <c r="L174" i="2"/>
  <c r="M173" i="2" s="1"/>
  <c r="T98" i="2"/>
  <c r="AB93" i="2"/>
  <c r="AB92" i="2"/>
  <c r="T99" i="2"/>
  <c r="AB98" i="2"/>
  <c r="U122" i="2" s="1"/>
  <c r="AB99" i="2"/>
  <c r="U123" i="2" s="1"/>
  <c r="AB100" i="2"/>
  <c r="AB94" i="2"/>
  <c r="T100" i="2"/>
  <c r="U116" i="2" s="1"/>
  <c r="Z116" i="2" s="1"/>
  <c r="AB95" i="2"/>
  <c r="E200" i="2"/>
  <c r="F200" i="2" s="1"/>
  <c r="Z122" i="2" l="1"/>
  <c r="N175" i="2"/>
  <c r="U124" i="2"/>
  <c r="Z123" i="2"/>
  <c r="U114" i="2"/>
  <c r="Z114" i="2"/>
  <c r="U115" i="2"/>
  <c r="Z115" i="2"/>
  <c r="N173" i="2"/>
  <c r="M174" i="2"/>
  <c r="N174" i="2" s="1"/>
  <c r="M175" i="2"/>
  <c r="D201" i="2"/>
  <c r="H201" i="2" s="1"/>
  <c r="G200" i="2"/>
  <c r="S49" i="1" l="1"/>
  <c r="E201" i="2"/>
  <c r="G201" i="2" l="1"/>
  <c r="D202" i="2"/>
  <c r="H202" i="2" s="1"/>
  <c r="F201" i="2"/>
  <c r="E202" i="2" l="1"/>
  <c r="G202" i="2" l="1"/>
  <c r="D203" i="2"/>
  <c r="H203" i="2" s="1"/>
  <c r="F202" i="2"/>
  <c r="E203" i="2" l="1"/>
  <c r="G203" i="2" l="1"/>
  <c r="D204" i="2"/>
  <c r="H204" i="2" s="1"/>
  <c r="F203" i="2"/>
  <c r="E204" i="2" l="1"/>
  <c r="G204" i="2" l="1"/>
  <c r="D205" i="2"/>
  <c r="H205" i="2" s="1"/>
  <c r="F204" i="2"/>
  <c r="E205" i="2" l="1"/>
  <c r="G205" i="2" l="1"/>
  <c r="D206" i="2"/>
  <c r="H206" i="2" s="1"/>
  <c r="F205" i="2"/>
  <c r="E206" i="2" l="1"/>
  <c r="G206" i="2" l="1"/>
  <c r="D207" i="2"/>
  <c r="H207" i="2" s="1"/>
  <c r="F206" i="2"/>
  <c r="E207" i="2" l="1"/>
  <c r="F207" i="2" s="1"/>
  <c r="G207" i="2" l="1"/>
  <c r="D208" i="2"/>
  <c r="H208" i="2" s="1"/>
  <c r="E208" i="2" l="1"/>
  <c r="F208" i="2" s="1"/>
  <c r="G208" i="2" l="1"/>
  <c r="D209" i="2"/>
  <c r="H209" i="2" s="1"/>
  <c r="E209" i="2" l="1"/>
  <c r="F209" i="2" s="1"/>
  <c r="G209" i="2" l="1"/>
  <c r="D210" i="2"/>
  <c r="H210" i="2" s="1"/>
  <c r="E210" i="2" l="1"/>
  <c r="F210" i="2" s="1"/>
  <c r="G210" i="2" l="1"/>
  <c r="D211" i="2"/>
  <c r="H211" i="2" s="1"/>
  <c r="E211" i="2" l="1"/>
  <c r="F211" i="2" s="1"/>
  <c r="G211" i="2" l="1"/>
  <c r="D212" i="2"/>
  <c r="H212" i="2" s="1"/>
  <c r="E212" i="2" l="1"/>
  <c r="F212" i="2" s="1"/>
  <c r="G212" i="2" l="1"/>
  <c r="D213" i="2"/>
  <c r="H213" i="2" s="1"/>
  <c r="E213" i="2" l="1"/>
  <c r="F213" i="2" s="1"/>
  <c r="G213" i="2" l="1"/>
  <c r="D214" i="2"/>
  <c r="H214" i="2" s="1"/>
  <c r="E214" i="2" l="1"/>
  <c r="F214" i="2" s="1"/>
  <c r="G214" i="2" l="1"/>
  <c r="D215" i="2"/>
  <c r="H215" i="2" s="1"/>
  <c r="E215" i="2" l="1"/>
  <c r="F215" i="2" s="1"/>
  <c r="G215" i="2" l="1"/>
  <c r="D216" i="2"/>
  <c r="H216" i="2" s="1"/>
  <c r="E216" i="2" l="1"/>
  <c r="F216" i="2" s="1"/>
  <c r="G216" i="2" l="1"/>
  <c r="D217" i="2"/>
  <c r="H217" i="2" s="1"/>
  <c r="E217" i="2" l="1"/>
  <c r="F217" i="2" s="1"/>
  <c r="G217" i="2" l="1"/>
  <c r="D218" i="2"/>
  <c r="H218" i="2" s="1"/>
  <c r="E218" i="2" l="1"/>
  <c r="F218" i="2" s="1"/>
  <c r="G218" i="2" l="1"/>
  <c r="D219" i="2"/>
  <c r="H219" i="2" s="1"/>
  <c r="E219" i="2" l="1"/>
  <c r="G219" i="2" l="1"/>
  <c r="D220" i="2"/>
  <c r="H220" i="2" s="1"/>
  <c r="F219" i="2"/>
  <c r="E220" i="2" l="1"/>
  <c r="F220" i="2" s="1"/>
  <c r="G220" i="2" l="1"/>
  <c r="D221" i="2"/>
  <c r="H221" i="2" s="1"/>
  <c r="E221" i="2" l="1"/>
  <c r="F221" i="2" s="1"/>
  <c r="G221" i="2" l="1"/>
  <c r="D222" i="2"/>
  <c r="H222" i="2" s="1"/>
  <c r="E222" i="2" l="1"/>
  <c r="F222" i="2" s="1"/>
  <c r="G222" i="2" l="1"/>
  <c r="D223" i="2"/>
  <c r="H223" i="2" s="1"/>
  <c r="E223" i="2" l="1"/>
  <c r="F223" i="2" s="1"/>
  <c r="G223" i="2" l="1"/>
  <c r="D224" i="2"/>
  <c r="H224" i="2" s="1"/>
  <c r="E224" i="2" l="1"/>
  <c r="F224" i="2" s="1"/>
  <c r="G224" i="2" l="1"/>
  <c r="D225" i="2"/>
  <c r="H225" i="2" s="1"/>
  <c r="E225" i="2" l="1"/>
  <c r="F225" i="2" s="1"/>
  <c r="G225" i="2" l="1"/>
  <c r="D226" i="2"/>
  <c r="H226" i="2" s="1"/>
  <c r="E226" i="2" l="1"/>
  <c r="F226" i="2" s="1"/>
  <c r="G226" i="2" l="1"/>
  <c r="D227" i="2"/>
  <c r="H227" i="2" s="1"/>
  <c r="E227" i="2" l="1"/>
  <c r="F227" i="2" s="1"/>
  <c r="G227" i="2" l="1"/>
  <c r="D228" i="2"/>
  <c r="H228" i="2" s="1"/>
  <c r="E228" i="2" l="1"/>
  <c r="F228" i="2" s="1"/>
  <c r="G228" i="2" l="1"/>
  <c r="D229" i="2"/>
  <c r="H229" i="2" s="1"/>
  <c r="E229" i="2" l="1"/>
  <c r="F229" i="2" s="1"/>
  <c r="G229" i="2" l="1"/>
  <c r="D230" i="2"/>
  <c r="H230" i="2" s="1"/>
  <c r="E230" i="2" l="1"/>
  <c r="F230" i="2" s="1"/>
  <c r="G230" i="2" l="1"/>
  <c r="D231" i="2"/>
  <c r="H231" i="2" s="1"/>
  <c r="E231" i="2" l="1"/>
  <c r="D232" i="2" l="1"/>
  <c r="H232" i="2" s="1"/>
  <c r="G231" i="2"/>
  <c r="F231" i="2"/>
  <c r="E232" i="2" l="1"/>
  <c r="G232" i="2" l="1"/>
  <c r="D233" i="2"/>
  <c r="H233" i="2" s="1"/>
  <c r="F232" i="2"/>
  <c r="E233" i="2" l="1"/>
  <c r="F233" i="2" s="1"/>
  <c r="G233" i="2" l="1"/>
  <c r="D234" i="2"/>
  <c r="H234" i="2" s="1"/>
  <c r="E234" i="2" l="1"/>
  <c r="F234" i="2" s="1"/>
  <c r="D235" i="2" l="1"/>
  <c r="H235" i="2" s="1"/>
  <c r="G234" i="2"/>
  <c r="E235" i="2" l="1"/>
  <c r="F235" i="2" s="1"/>
  <c r="G235" i="2" l="1"/>
  <c r="D236" i="2"/>
  <c r="H236" i="2" s="1"/>
  <c r="E236" i="2" l="1"/>
  <c r="F236" i="2" s="1"/>
  <c r="G236" i="2" l="1"/>
  <c r="D237" i="2"/>
  <c r="H237" i="2" s="1"/>
  <c r="E237" i="2" l="1"/>
  <c r="F237" i="2" s="1"/>
  <c r="G237" i="2" l="1"/>
  <c r="D238" i="2"/>
  <c r="H238" i="2" s="1"/>
  <c r="E238" i="2" l="1"/>
  <c r="F238" i="2" s="1"/>
  <c r="G238" i="2" l="1"/>
  <c r="D239" i="2"/>
  <c r="H239" i="2" s="1"/>
  <c r="E239" i="2" l="1"/>
  <c r="F239" i="2" s="1"/>
  <c r="G239" i="2" l="1"/>
  <c r="D240" i="2"/>
  <c r="H240" i="2" s="1"/>
  <c r="E240" i="2" l="1"/>
  <c r="F240" i="2" s="1"/>
  <c r="D241" i="2" l="1"/>
  <c r="H241" i="2" s="1"/>
  <c r="G240" i="2"/>
  <c r="E241" i="2" l="1"/>
  <c r="F241" i="2" s="1"/>
  <c r="G241" i="2" l="1"/>
  <c r="D242" i="2"/>
  <c r="H242" i="2" s="1"/>
  <c r="E242" i="2" l="1"/>
  <c r="F242" i="2" s="1"/>
  <c r="G242" i="2" l="1"/>
  <c r="D243" i="2"/>
  <c r="H243" i="2" s="1"/>
  <c r="E243" i="2" l="1"/>
  <c r="F243" i="2" s="1"/>
  <c r="D244" i="2" l="1"/>
  <c r="H244" i="2" s="1"/>
  <c r="G243" i="2"/>
  <c r="E244" i="2" l="1"/>
  <c r="F244" i="2" s="1"/>
  <c r="G244" i="2" l="1"/>
  <c r="D245" i="2"/>
  <c r="H245" i="2" s="1"/>
  <c r="E245" i="2" l="1"/>
  <c r="F245" i="2" s="1"/>
  <c r="G245" i="2" l="1"/>
  <c r="D246" i="2"/>
  <c r="H246" i="2" s="1"/>
  <c r="E246" i="2" l="1"/>
  <c r="F246" i="2" s="1"/>
  <c r="G246" i="2" l="1"/>
  <c r="D247" i="2"/>
  <c r="H247" i="2" s="1"/>
  <c r="E247" i="2" l="1"/>
  <c r="F247" i="2" s="1"/>
  <c r="G247" i="2" l="1"/>
  <c r="D248" i="2"/>
  <c r="H248" i="2" s="1"/>
  <c r="E248" i="2" l="1"/>
  <c r="F248" i="2" s="1"/>
  <c r="G248" i="2" l="1"/>
  <c r="D249" i="2"/>
  <c r="H249" i="2" s="1"/>
  <c r="E249" i="2" l="1"/>
  <c r="F249" i="2" s="1"/>
  <c r="D250" i="2" l="1"/>
  <c r="H250" i="2" s="1"/>
  <c r="G249" i="2"/>
  <c r="E250" i="2" l="1"/>
  <c r="F250" i="2" s="1"/>
  <c r="G250" i="2" l="1"/>
  <c r="D251" i="2"/>
  <c r="H251" i="2" s="1"/>
  <c r="E251" i="2" l="1"/>
  <c r="F251" i="2" s="1"/>
  <c r="G251" i="2" l="1"/>
  <c r="D252" i="2"/>
  <c r="H252" i="2" s="1"/>
  <c r="E252" i="2" l="1"/>
  <c r="F252" i="2" s="1"/>
  <c r="D253" i="2" l="1"/>
  <c r="H253" i="2" s="1"/>
  <c r="G252" i="2"/>
  <c r="E253" i="2" l="1"/>
  <c r="F253" i="2" s="1"/>
  <c r="G253" i="2" l="1"/>
  <c r="D254" i="2"/>
  <c r="H254" i="2" s="1"/>
  <c r="E254" i="2" l="1"/>
  <c r="F254" i="2" s="1"/>
  <c r="G254" i="2" l="1"/>
  <c r="D255" i="2"/>
  <c r="H255" i="2" s="1"/>
  <c r="E255" i="2" l="1"/>
  <c r="F255" i="2" s="1"/>
  <c r="G255" i="2" l="1"/>
  <c r="D256" i="2"/>
  <c r="H256" i="2" s="1"/>
  <c r="E256" i="2" l="1"/>
  <c r="F256" i="2" s="1"/>
  <c r="G256" i="2" l="1"/>
  <c r="D257" i="2"/>
  <c r="H257" i="2" s="1"/>
  <c r="E257" i="2" l="1"/>
  <c r="F257" i="2" s="1"/>
  <c r="G257" i="2" l="1"/>
  <c r="D258" i="2"/>
  <c r="H258" i="2" s="1"/>
  <c r="E258" i="2" l="1"/>
  <c r="F258" i="2" s="1"/>
  <c r="D259" i="2" l="1"/>
  <c r="H259" i="2" s="1"/>
  <c r="G258" i="2"/>
  <c r="E259" i="2" l="1"/>
  <c r="G259" i="2" l="1"/>
  <c r="D260" i="2"/>
  <c r="H260" i="2" s="1"/>
  <c r="F259" i="2"/>
  <c r="E260" i="2" l="1"/>
  <c r="G260" i="2" l="1"/>
  <c r="D261" i="2"/>
  <c r="H261" i="2" s="1"/>
  <c r="F260" i="2"/>
  <c r="E261" i="2" l="1"/>
  <c r="D262" i="2" l="1"/>
  <c r="H262" i="2" s="1"/>
  <c r="G261" i="2"/>
  <c r="F261" i="2"/>
  <c r="E262" i="2" l="1"/>
  <c r="G262" i="2" l="1"/>
  <c r="D263" i="2"/>
  <c r="H263" i="2" s="1"/>
  <c r="F262" i="2"/>
  <c r="E263" i="2" l="1"/>
  <c r="F263" i="2" s="1"/>
  <c r="G263" i="2" l="1"/>
  <c r="D264" i="2"/>
  <c r="H264" i="2" s="1"/>
  <c r="E264" i="2" l="1"/>
  <c r="F264" i="2" s="1"/>
  <c r="G264" i="2" l="1"/>
  <c r="D265" i="2"/>
  <c r="H265" i="2" s="1"/>
  <c r="E265" i="2" l="1"/>
  <c r="F265" i="2" s="1"/>
  <c r="G265" i="2" l="1"/>
  <c r="D266" i="2"/>
  <c r="H266" i="2" s="1"/>
  <c r="E266" i="2" l="1"/>
  <c r="F266" i="2" s="1"/>
  <c r="G266" i="2" l="1"/>
  <c r="D267" i="2"/>
  <c r="H267" i="2" s="1"/>
  <c r="E267" i="2" l="1"/>
  <c r="F267" i="2" s="1"/>
  <c r="D268" i="2" l="1"/>
  <c r="H268" i="2" s="1"/>
  <c r="G267" i="2"/>
  <c r="E268" i="2" l="1"/>
  <c r="F268" i="2" s="1"/>
  <c r="G268" i="2" l="1"/>
  <c r="D269" i="2"/>
  <c r="H269" i="2" s="1"/>
  <c r="E269" i="2" l="1"/>
  <c r="F269" i="2" s="1"/>
  <c r="G269" i="2" l="1"/>
  <c r="D270" i="2"/>
  <c r="H270" i="2" s="1"/>
  <c r="E270" i="2" l="1"/>
  <c r="F270" i="2" s="1"/>
  <c r="D271" i="2" l="1"/>
  <c r="H271" i="2" s="1"/>
  <c r="G270" i="2"/>
  <c r="E271" i="2" l="1"/>
  <c r="F271" i="2" s="1"/>
  <c r="G271" i="2" l="1"/>
  <c r="D272" i="2"/>
  <c r="H272" i="2" s="1"/>
  <c r="E272" i="2" l="1"/>
  <c r="F272" i="2" s="1"/>
  <c r="G272" i="2" l="1"/>
  <c r="D273" i="2"/>
  <c r="H273" i="2" s="1"/>
  <c r="E273" i="2" l="1"/>
  <c r="G273" i="2" l="1"/>
  <c r="D274" i="2"/>
  <c r="H274" i="2" s="1"/>
  <c r="F273" i="2"/>
  <c r="E274" i="2" l="1"/>
  <c r="F274" i="2" s="1"/>
  <c r="G274" i="2" l="1"/>
  <c r="D275" i="2"/>
  <c r="H275" i="2" s="1"/>
  <c r="E275" i="2" l="1"/>
  <c r="F275" i="2" s="1"/>
  <c r="G275" i="2" l="1"/>
  <c r="D276" i="2"/>
  <c r="H276" i="2" s="1"/>
  <c r="E276" i="2" l="1"/>
  <c r="F276" i="2" s="1"/>
  <c r="D277" i="2" l="1"/>
  <c r="H277" i="2" s="1"/>
  <c r="G276" i="2"/>
  <c r="E277" i="2" l="1"/>
  <c r="F277" i="2" s="1"/>
  <c r="G277" i="2" l="1"/>
  <c r="D278" i="2"/>
  <c r="H278" i="2" s="1"/>
  <c r="E278" i="2" l="1"/>
  <c r="F278" i="2" s="1"/>
  <c r="G278" i="2" l="1"/>
  <c r="D279" i="2"/>
  <c r="H279" i="2" s="1"/>
  <c r="E279" i="2" l="1"/>
  <c r="F279" i="2" s="1"/>
  <c r="D280" i="2" l="1"/>
  <c r="H280" i="2" s="1"/>
  <c r="G279" i="2"/>
  <c r="E280" i="2" l="1"/>
  <c r="F280" i="2" s="1"/>
  <c r="G280" i="2" l="1"/>
  <c r="D281" i="2"/>
  <c r="H281" i="2" s="1"/>
  <c r="E281" i="2" l="1"/>
  <c r="F281" i="2" s="1"/>
  <c r="G281" i="2" l="1"/>
  <c r="D282" i="2"/>
  <c r="H282" i="2" s="1"/>
  <c r="E282" i="2" l="1"/>
  <c r="F282" i="2" s="1"/>
  <c r="G282" i="2" l="1"/>
  <c r="D283" i="2"/>
  <c r="H283" i="2" s="1"/>
  <c r="E283" i="2" l="1"/>
  <c r="G283" i="2" l="1"/>
  <c r="D284" i="2"/>
  <c r="H284" i="2" s="1"/>
  <c r="F283" i="2"/>
  <c r="E284" i="2" l="1"/>
  <c r="F284" i="2" s="1"/>
  <c r="G284" i="2" l="1"/>
  <c r="D285" i="2"/>
  <c r="H285" i="2" s="1"/>
  <c r="E285" i="2" l="1"/>
  <c r="D286" i="2" l="1"/>
  <c r="H286" i="2" s="1"/>
  <c r="G285" i="2"/>
  <c r="F285" i="2"/>
  <c r="E286" i="2" l="1"/>
  <c r="F286" i="2" s="1"/>
  <c r="G286" i="2" l="1"/>
  <c r="D287" i="2"/>
  <c r="H287" i="2" s="1"/>
  <c r="E287" i="2" l="1"/>
  <c r="F287" i="2" s="1"/>
  <c r="G287" i="2" l="1"/>
  <c r="D288" i="2"/>
  <c r="H288" i="2" s="1"/>
  <c r="E288" i="2" l="1"/>
  <c r="F288" i="2" s="1"/>
  <c r="D289" i="2" l="1"/>
  <c r="H289" i="2" s="1"/>
  <c r="G288" i="2"/>
  <c r="E289" i="2" l="1"/>
  <c r="F289" i="2" s="1"/>
  <c r="G289" i="2" l="1"/>
  <c r="D290" i="2"/>
  <c r="H290" i="2" s="1"/>
  <c r="E290" i="2" l="1"/>
  <c r="F290" i="2" s="1"/>
  <c r="G290" i="2" l="1"/>
  <c r="D291" i="2"/>
  <c r="H291" i="2" s="1"/>
  <c r="E291" i="2" l="1"/>
  <c r="G291" i="2" l="1"/>
  <c r="D292" i="2"/>
  <c r="H292" i="2" s="1"/>
  <c r="F291" i="2"/>
  <c r="E292" i="2" l="1"/>
  <c r="G292" i="2" l="1"/>
  <c r="D293" i="2"/>
  <c r="H293" i="2" s="1"/>
  <c r="F292" i="2"/>
  <c r="E293" i="2" l="1"/>
  <c r="F293" i="2" s="1"/>
  <c r="G293" i="2" l="1"/>
  <c r="D294" i="2"/>
  <c r="H294" i="2" s="1"/>
  <c r="E294" i="2" l="1"/>
  <c r="F294" i="2" s="1"/>
  <c r="D295" i="2" l="1"/>
  <c r="H295" i="2" s="1"/>
  <c r="G294" i="2"/>
  <c r="E295" i="2" l="1"/>
  <c r="F295" i="2" s="1"/>
  <c r="G295" i="2" l="1"/>
  <c r="D296" i="2"/>
  <c r="H296" i="2" s="1"/>
  <c r="E296" i="2" l="1"/>
  <c r="F296" i="2" s="1"/>
  <c r="G296" i="2" l="1"/>
  <c r="D297" i="2"/>
  <c r="H297" i="2" s="1"/>
  <c r="E297" i="2" l="1"/>
  <c r="F297" i="2" s="1"/>
  <c r="D298" i="2" l="1"/>
  <c r="H298" i="2" s="1"/>
  <c r="G297" i="2"/>
  <c r="E298" i="2" l="1"/>
  <c r="F298" i="2" s="1"/>
  <c r="G298" i="2" l="1"/>
  <c r="D299" i="2"/>
  <c r="H299" i="2" s="1"/>
  <c r="E299" i="2" l="1"/>
  <c r="F299" i="2" s="1"/>
  <c r="G299" i="2" l="1"/>
  <c r="D300" i="2"/>
  <c r="H300" i="2" s="1"/>
  <c r="E300" i="2" l="1"/>
  <c r="F300" i="2" s="1"/>
  <c r="G300" i="2" l="1"/>
  <c r="D301" i="2"/>
  <c r="H301" i="2" s="1"/>
  <c r="E301" i="2" l="1"/>
  <c r="F301" i="2" s="1"/>
  <c r="G301" i="2" l="1"/>
  <c r="D302" i="2"/>
  <c r="H302" i="2" s="1"/>
  <c r="E302" i="2" l="1"/>
  <c r="F302" i="2" s="1"/>
  <c r="G302" i="2" l="1"/>
  <c r="D303" i="2"/>
  <c r="H303" i="2" s="1"/>
  <c r="E303" i="2" l="1"/>
  <c r="F303" i="2" s="1"/>
  <c r="D304" i="2" l="1"/>
  <c r="H304" i="2" s="1"/>
  <c r="G303" i="2"/>
  <c r="E304" i="2" l="1"/>
  <c r="F304" i="2" s="1"/>
  <c r="G304" i="2" l="1"/>
  <c r="D305" i="2"/>
  <c r="H305" i="2" s="1"/>
  <c r="E305" i="2" l="1"/>
  <c r="F305" i="2" s="1"/>
  <c r="G305" i="2" l="1"/>
  <c r="D306" i="2"/>
  <c r="H306" i="2" s="1"/>
  <c r="E306" i="2" l="1"/>
  <c r="F306" i="2" s="1"/>
  <c r="D307" i="2" l="1"/>
  <c r="H307" i="2" s="1"/>
  <c r="G306" i="2"/>
  <c r="E307" i="2" l="1"/>
  <c r="F307" i="2" s="1"/>
  <c r="G307" i="2" l="1"/>
  <c r="D308" i="2"/>
  <c r="H308" i="2" s="1"/>
  <c r="E308" i="2" l="1"/>
  <c r="F308" i="2" s="1"/>
  <c r="G308" i="2" l="1"/>
  <c r="D309" i="2"/>
  <c r="H309" i="2" s="1"/>
  <c r="E309" i="2" l="1"/>
  <c r="F309" i="2" s="1"/>
  <c r="G309" i="2" l="1"/>
  <c r="D310" i="2"/>
  <c r="H310" i="2" s="1"/>
  <c r="E310" i="2" l="1"/>
  <c r="F310" i="2" s="1"/>
  <c r="G310" i="2" l="1"/>
  <c r="D311" i="2"/>
  <c r="H311" i="2" s="1"/>
  <c r="E311" i="2" l="1"/>
  <c r="F311" i="2" s="1"/>
  <c r="G311" i="2" l="1"/>
  <c r="D312" i="2"/>
  <c r="H312" i="2" s="1"/>
  <c r="E312" i="2" l="1"/>
  <c r="F312" i="2" s="1"/>
  <c r="D313" i="2" l="1"/>
  <c r="H313" i="2" s="1"/>
  <c r="G312" i="2"/>
  <c r="E313" i="2" l="1"/>
  <c r="F313" i="2" s="1"/>
  <c r="G313" i="2" l="1"/>
  <c r="D314" i="2"/>
  <c r="H314" i="2" s="1"/>
  <c r="E314" i="2" l="1"/>
  <c r="F314" i="2" s="1"/>
  <c r="G314" i="2" l="1"/>
  <c r="D315" i="2"/>
  <c r="H315" i="2" s="1"/>
  <c r="E315" i="2" l="1"/>
  <c r="F315" i="2" s="1"/>
  <c r="D316" i="2" l="1"/>
  <c r="H316" i="2" s="1"/>
  <c r="G315" i="2"/>
  <c r="E316" i="2" l="1"/>
  <c r="F316" i="2" s="1"/>
  <c r="G316" i="2" l="1"/>
  <c r="D317" i="2"/>
  <c r="H317" i="2" s="1"/>
  <c r="E317" i="2" l="1"/>
  <c r="F317" i="2" s="1"/>
  <c r="G317" i="2" l="1"/>
  <c r="D318" i="2"/>
  <c r="H318" i="2" s="1"/>
  <c r="E318" i="2" l="1"/>
  <c r="F318" i="2" s="1"/>
  <c r="G318" i="2" l="1"/>
  <c r="D319" i="2"/>
  <c r="H319" i="2" s="1"/>
  <c r="E319" i="2" l="1"/>
  <c r="F319" i="2" s="1"/>
  <c r="G319" i="2" l="1"/>
  <c r="D320" i="2"/>
  <c r="H320" i="2" s="1"/>
  <c r="E320" i="2" l="1"/>
  <c r="F320" i="2" s="1"/>
  <c r="G320" i="2" l="1"/>
  <c r="D321" i="2"/>
  <c r="H321" i="2" s="1"/>
  <c r="E321" i="2" l="1"/>
  <c r="F321" i="2" s="1"/>
  <c r="D322" i="2" l="1"/>
  <c r="H322" i="2" s="1"/>
  <c r="G321" i="2"/>
  <c r="E322" i="2" l="1"/>
  <c r="F322" i="2" s="1"/>
  <c r="G322" i="2" l="1"/>
  <c r="D323" i="2"/>
  <c r="H323" i="2" s="1"/>
  <c r="E323" i="2" l="1"/>
  <c r="F323" i="2" s="1"/>
  <c r="G323" i="2" l="1"/>
  <c r="D324" i="2"/>
  <c r="H324" i="2" s="1"/>
  <c r="E324" i="2" l="1"/>
  <c r="F324" i="2" s="1"/>
  <c r="D325" i="2" l="1"/>
  <c r="H325" i="2" s="1"/>
  <c r="G324" i="2"/>
  <c r="E325" i="2" l="1"/>
  <c r="F325" i="2" s="1"/>
  <c r="G325" i="2" l="1"/>
  <c r="D326" i="2"/>
  <c r="H326" i="2" s="1"/>
  <c r="E326" i="2" l="1"/>
  <c r="F326" i="2" s="1"/>
  <c r="G326" i="2" l="1"/>
  <c r="D327" i="2"/>
  <c r="H327" i="2" s="1"/>
  <c r="E327" i="2" l="1"/>
  <c r="F327" i="2" s="1"/>
  <c r="D328" i="2" l="1"/>
  <c r="H328" i="2" s="1"/>
  <c r="G327" i="2"/>
  <c r="E328" i="2" l="1"/>
  <c r="F328" i="2" s="1"/>
  <c r="G328" i="2" l="1"/>
  <c r="D329" i="2"/>
  <c r="H329" i="2" s="1"/>
  <c r="E329" i="2" l="1"/>
  <c r="G329" i="2" l="1"/>
  <c r="D330" i="2"/>
  <c r="H330" i="2" s="1"/>
  <c r="F329" i="2"/>
  <c r="E330" i="2" l="1"/>
  <c r="F330" i="2" s="1"/>
  <c r="D331" i="2" l="1"/>
  <c r="H331" i="2" s="1"/>
  <c r="G330" i="2"/>
  <c r="E331" i="2" l="1"/>
  <c r="F331" i="2" s="1"/>
  <c r="G331" i="2" l="1"/>
  <c r="D332" i="2"/>
  <c r="H332" i="2" s="1"/>
  <c r="E332" i="2" l="1"/>
  <c r="F332" i="2" s="1"/>
  <c r="G332" i="2" l="1"/>
  <c r="D333" i="2"/>
  <c r="H333" i="2" s="1"/>
  <c r="E333" i="2" l="1"/>
  <c r="F333" i="2" s="1"/>
  <c r="D334" i="2" l="1"/>
  <c r="H334" i="2" s="1"/>
  <c r="G333" i="2"/>
  <c r="E334" i="2" l="1"/>
  <c r="F334" i="2" s="1"/>
  <c r="G334" i="2" l="1"/>
  <c r="D335" i="2"/>
  <c r="H335" i="2" s="1"/>
  <c r="E335" i="2" l="1"/>
  <c r="F335" i="2" s="1"/>
  <c r="G335" i="2" l="1"/>
  <c r="D336" i="2"/>
  <c r="H336" i="2" s="1"/>
  <c r="E336" i="2" l="1"/>
  <c r="F336" i="2" s="1"/>
  <c r="G336" i="2" l="1"/>
  <c r="D337" i="2"/>
  <c r="H337" i="2" s="1"/>
  <c r="E337" i="2" l="1"/>
  <c r="F337" i="2" s="1"/>
  <c r="G337" i="2" l="1"/>
  <c r="D338" i="2"/>
  <c r="H338" i="2" s="1"/>
  <c r="E338" i="2" l="1"/>
  <c r="F338" i="2" s="1"/>
  <c r="G338" i="2" l="1"/>
  <c r="D339" i="2"/>
  <c r="H339" i="2" s="1"/>
  <c r="E339" i="2" l="1"/>
  <c r="F339" i="2" s="1"/>
  <c r="D340" i="2" l="1"/>
  <c r="H340" i="2" s="1"/>
  <c r="G339" i="2"/>
  <c r="E340" i="2" l="1"/>
  <c r="F340" i="2" s="1"/>
  <c r="G340" i="2" l="1"/>
  <c r="D341" i="2"/>
  <c r="H341" i="2" s="1"/>
  <c r="E341" i="2" l="1"/>
  <c r="G341" i="2" s="1"/>
  <c r="F341" i="2" l="1"/>
</calcChain>
</file>

<file path=xl/sharedStrings.xml><?xml version="1.0" encoding="utf-8"?>
<sst xmlns="http://schemas.openxmlformats.org/spreadsheetml/2006/main" count="275" uniqueCount="223">
  <si>
    <t>Out of Control Limits</t>
  </si>
  <si>
    <t>READINGS</t>
  </si>
  <si>
    <t>Z</t>
  </si>
  <si>
    <t>Obs Cum Freq</t>
  </si>
  <si>
    <t>Exp Norm Dist</t>
  </si>
  <si>
    <t>Normal Percent</t>
  </si>
  <si>
    <t>Std Dev.</t>
  </si>
  <si>
    <t xml:space="preserve">Unit of Measure = </t>
  </si>
  <si>
    <t xml:space="preserve">Number of Entries = </t>
  </si>
  <si>
    <t xml:space="preserve">Average = </t>
  </si>
  <si>
    <t>Minimum Value =</t>
  </si>
  <si>
    <t>Maximum Value =</t>
  </si>
  <si>
    <t>Range =</t>
  </si>
  <si>
    <t>Number of Bars =</t>
  </si>
  <si>
    <t xml:space="preserve">Number of Classes = </t>
  </si>
  <si>
    <t>Class Width =</t>
  </si>
  <si>
    <t xml:space="preserve">Beginning Point = </t>
  </si>
  <si>
    <t>Start</t>
  </si>
  <si>
    <t>End</t>
  </si>
  <si>
    <t>Count</t>
  </si>
  <si>
    <t>Please Enter</t>
  </si>
  <si>
    <t>Number of Bars</t>
  </si>
  <si>
    <t>for Histogram</t>
  </si>
  <si>
    <t>NORMAL PROBABILITY PLOT</t>
  </si>
  <si>
    <t>OBSERVED</t>
  </si>
  <si>
    <t>EXPECTED</t>
  </si>
  <si>
    <t>PPM &lt; LSL =</t>
  </si>
  <si>
    <t>PPM &gt; USL =</t>
  </si>
  <si>
    <t>PPM =</t>
  </si>
  <si>
    <t>% DEFECTS =</t>
  </si>
  <si>
    <t>Significant trends of data points:</t>
  </si>
  <si>
    <t>X bar</t>
  </si>
  <si>
    <t>Lower R</t>
  </si>
  <si>
    <t>Upper R</t>
  </si>
  <si>
    <t>AA3=0 if none</t>
  </si>
  <si>
    <t xml:space="preserve"> </t>
  </si>
  <si>
    <t>Increasing</t>
  </si>
  <si>
    <t>RUN LENGTH</t>
  </si>
  <si>
    <t>n</t>
  </si>
  <si>
    <t>a2</t>
  </si>
  <si>
    <t>d3</t>
  </si>
  <si>
    <t>d4</t>
  </si>
  <si>
    <t>PPU</t>
  </si>
  <si>
    <t>AA3=1 if bilateral</t>
  </si>
  <si>
    <t>HOW MANY RUNS</t>
  </si>
  <si>
    <t>PPL</t>
  </si>
  <si>
    <t>AA3=2 if Min</t>
  </si>
  <si>
    <t>Decreasing</t>
  </si>
  <si>
    <t>AA3=3 if Max</t>
  </si>
  <si>
    <t>Consecutive data points above avg.</t>
  </si>
  <si>
    <t>Consecutive data points below avg.</t>
  </si>
  <si>
    <t>AveX</t>
  </si>
  <si>
    <t>UCLx</t>
  </si>
  <si>
    <t>Min</t>
  </si>
  <si>
    <t>LH term</t>
  </si>
  <si>
    <t>RH term</t>
  </si>
  <si>
    <t>Low end</t>
  </si>
  <si>
    <t>High end</t>
  </si>
  <si>
    <t>LCLx</t>
  </si>
  <si>
    <t>Max</t>
  </si>
  <si>
    <t>AveR</t>
  </si>
  <si>
    <t>UCLr</t>
  </si>
  <si>
    <t>Diff</t>
  </si>
  <si>
    <t>Data Values</t>
  </si>
  <si>
    <t>LCLr</t>
  </si>
  <si>
    <t>Class</t>
  </si>
  <si>
    <t>XGoUP</t>
  </si>
  <si>
    <t>XAcumUP</t>
  </si>
  <si>
    <t>XAcumDw</t>
  </si>
  <si>
    <t>XMaxUP</t>
  </si>
  <si>
    <t>XMaxDown</t>
  </si>
  <si>
    <t>XHMUps</t>
  </si>
  <si>
    <t>XHMDws</t>
  </si>
  <si>
    <t>RGoUP</t>
  </si>
  <si>
    <t>RAcumUP</t>
  </si>
  <si>
    <t>RAcumDw</t>
  </si>
  <si>
    <t>RMaxUP</t>
  </si>
  <si>
    <t>RMaxDown</t>
  </si>
  <si>
    <t>RHMUps</t>
  </si>
  <si>
    <t>RHMDws</t>
  </si>
  <si>
    <t>sample #</t>
  </si>
  <si>
    <t>Above UCLx</t>
  </si>
  <si>
    <t>Below LCLx</t>
  </si>
  <si>
    <t>Above UCLr</t>
  </si>
  <si>
    <t>Below LCLr</t>
  </si>
  <si>
    <t>XAbove</t>
  </si>
  <si>
    <t>XBelow</t>
  </si>
  <si>
    <t>RAbove</t>
  </si>
  <si>
    <t>RBelow</t>
  </si>
  <si>
    <t>XACounter</t>
  </si>
  <si>
    <t>XBCounter</t>
  </si>
  <si>
    <t>RACounter</t>
  </si>
  <si>
    <t>Number of readings</t>
  </si>
  <si>
    <t>RBCounter</t>
  </si>
  <si>
    <t>Lower spec limit (LSL)</t>
  </si>
  <si>
    <t>Nominal</t>
  </si>
  <si>
    <t>MaxXA</t>
  </si>
  <si>
    <t xml:space="preserve">  consecutive data points above average X</t>
  </si>
  <si>
    <t>Upper spec limit (USL)</t>
  </si>
  <si>
    <t>MaxXB</t>
  </si>
  <si>
    <t xml:space="preserve">  consecutive data points below average X</t>
  </si>
  <si>
    <t>Total sum</t>
  </si>
  <si>
    <t>MaxRA</t>
  </si>
  <si>
    <t xml:space="preserve">  consecutive data points above average R</t>
  </si>
  <si>
    <t>MaxRB</t>
  </si>
  <si>
    <t xml:space="preserve">  consecutive data points below average R</t>
  </si>
  <si>
    <t>HISTOGRAM WITH LIMITS</t>
  </si>
  <si>
    <t>Maximum</t>
  </si>
  <si>
    <t>Minimum</t>
  </si>
  <si>
    <t>Readings below LSL</t>
  </si>
  <si>
    <t>Readings above USL</t>
  </si>
  <si>
    <t>Average Range (R)</t>
  </si>
  <si>
    <t>n =</t>
  </si>
  <si>
    <t>Std Deviation (n-1)</t>
  </si>
  <si>
    <t>Std Deviation (n)</t>
  </si>
  <si>
    <t>Variance (n-1)</t>
  </si>
  <si>
    <t>Variance (n)</t>
  </si>
  <si>
    <t>FINAL CALL</t>
  </si>
  <si>
    <t>ADDING</t>
  </si>
  <si>
    <t>Average</t>
  </si>
  <si>
    <t>Range</t>
  </si>
  <si>
    <t>Subgroup chk</t>
  </si>
  <si>
    <t>PLUS:</t>
  </si>
  <si>
    <t>SPEC.:</t>
  </si>
  <si>
    <t>MINUS:</t>
  </si>
  <si>
    <t>Readings/Subgroup</t>
  </si>
  <si>
    <t>L7</t>
  </si>
  <si>
    <t>Q7</t>
  </si>
  <si>
    <t xml:space="preserve">Excessive process variation (Pp &lt; 1.67) - </t>
  </si>
  <si>
    <t xml:space="preserve">   </t>
  </si>
  <si>
    <t>NORMALITY TEST</t>
  </si>
  <si>
    <t>d2</t>
  </si>
  <si>
    <t>D2 Value</t>
  </si>
  <si>
    <t>Performance ratio (Pr)</t>
  </si>
  <si>
    <t>Capability ratio (Cr)</t>
  </si>
  <si>
    <t>Upper capability index (Cpu)</t>
  </si>
  <si>
    <t>Lower capability index (Cpl)</t>
  </si>
  <si>
    <t>X - MR</t>
  </si>
  <si>
    <t>MEDIAN</t>
  </si>
  <si>
    <t>Xbar &amp; R</t>
  </si>
  <si>
    <t>LCL=</t>
  </si>
  <si>
    <t>UCL=</t>
  </si>
  <si>
    <t>Xbar &amp; R Chart</t>
  </si>
  <si>
    <t>e2</t>
  </si>
  <si>
    <t>X</t>
  </si>
  <si>
    <t>Charts for Individuals</t>
  </si>
  <si>
    <t>Median Charts</t>
  </si>
  <si>
    <t>A2</t>
  </si>
  <si>
    <t>FINAL</t>
  </si>
  <si>
    <t xml:space="preserve">Excessive process variation (Pp &lt; 1.67 and Cp &lt; 1.33) - </t>
  </si>
  <si>
    <t>Identify, evaluate and, wherever possible, eliminate special causes of variation prior to PPAP submission.</t>
  </si>
  <si>
    <t>The process does not currently meet the acceptance criteria.</t>
  </si>
  <si>
    <t>With out of control limits (Ave. chart)</t>
  </si>
  <si>
    <t>With out of control limits (R chart)</t>
  </si>
  <si>
    <t>The process currently meets customer requirements.</t>
  </si>
  <si>
    <t>Extend Control Limits and proceed to Cpk Study.</t>
  </si>
  <si>
    <t>Process must be stable before Cpk can be computed.</t>
  </si>
  <si>
    <t xml:space="preserve">Process not centered / capable (1.33 &lt;= Ppk &lt; 1.67 and Cpk &lt; 1.33) - </t>
  </si>
  <si>
    <t xml:space="preserve">Process not centered / capable (1.33 &lt;= Ppk &lt; 1.67) - </t>
  </si>
  <si>
    <t xml:space="preserve">Process produced </t>
  </si>
  <si>
    <t xml:space="preserve">Process could generate </t>
  </si>
  <si>
    <t xml:space="preserve">% defects. </t>
  </si>
  <si>
    <t xml:space="preserve">and </t>
  </si>
  <si>
    <t>7 data points increasing trend (Ave. chart)</t>
  </si>
  <si>
    <t>7 data points decreasing trend (Ave. chart)</t>
  </si>
  <si>
    <t>7 data points increasing trend (Range chart)</t>
  </si>
  <si>
    <t>7 data points decreasing trend (Range chart)</t>
  </si>
  <si>
    <t>Inform Sales Account in-charge and contact customer for a review of the study results.</t>
  </si>
  <si>
    <t>For Ppk Study</t>
  </si>
  <si>
    <t>For Cpk Study</t>
  </si>
  <si>
    <t>Extended Control Limits</t>
  </si>
  <si>
    <t>UCLXxtnd</t>
  </si>
  <si>
    <t>AveXxtnd</t>
  </si>
  <si>
    <t>LCLXxtnd</t>
  </si>
  <si>
    <t>UCLRxtnd</t>
  </si>
  <si>
    <t>AveRxtnd</t>
  </si>
  <si>
    <t>LCLRxtnd</t>
  </si>
  <si>
    <t>Data Xxbar&amp;r</t>
  </si>
  <si>
    <t>Data Xindiv</t>
  </si>
  <si>
    <t>Data Xmedian</t>
  </si>
  <si>
    <t>To chart X:</t>
  </si>
  <si>
    <t>To chart R:</t>
  </si>
  <si>
    <t>Data R</t>
  </si>
  <si>
    <t>7 consecutive points above central line. (Ave. chart)</t>
  </si>
  <si>
    <t>7 consecutive points below central line. (Ave. chart)</t>
  </si>
  <si>
    <t>7 consecutive points above central line. (R chart)</t>
  </si>
  <si>
    <t>7 consecutive points below central line. (R chart)</t>
  </si>
  <si>
    <t>Issue Q.A.R. Identify and evaluate possible causes of variation prior to Cpk computation.</t>
  </si>
  <si>
    <t>MID(CELL("format",$C$38),2,1)+1</t>
  </si>
  <si>
    <t>IF(AA3=2,"N/A",STANDARDIZE(Y57,Y59,AB130))</t>
  </si>
  <si>
    <t>DATE/TIME</t>
  </si>
  <si>
    <t>IF(AA3=3,"N/A",STANDARDIZE(Y53,Y57,AB129))</t>
  </si>
  <si>
    <t>ROUND(STDEV(C43:AA43),AB$126)</t>
  </si>
  <si>
    <t>BF48</t>
  </si>
  <si>
    <t>BF49</t>
  </si>
  <si>
    <t>BF55</t>
  </si>
  <si>
    <t>BF56</t>
  </si>
  <si>
    <t>BI34</t>
  </si>
  <si>
    <t>BI35</t>
  </si>
  <si>
    <t>BI36</t>
  </si>
  <si>
    <t>BI37</t>
  </si>
  <si>
    <t>BR22</t>
  </si>
  <si>
    <t>BR23</t>
  </si>
  <si>
    <t>BR24</t>
  </si>
  <si>
    <t>BR25</t>
  </si>
  <si>
    <t>BR26</t>
  </si>
  <si>
    <t>BR27</t>
  </si>
  <si>
    <t>BR28</t>
  </si>
  <si>
    <t>BR29</t>
  </si>
  <si>
    <t>BR30</t>
  </si>
  <si>
    <t>BR31</t>
  </si>
  <si>
    <t>BR32</t>
  </si>
  <si>
    <r>
      <t xml:space="preserve">Average readings ( </t>
    </r>
    <r>
      <rPr>
        <sz val="8"/>
        <color theme="1"/>
        <rFont val="Arial"/>
        <family val="2"/>
      </rPr>
      <t xml:space="preserve">X </t>
    </r>
    <r>
      <rPr>
        <sz val="10"/>
        <color theme="1"/>
        <rFont val="Arial"/>
        <family val="2"/>
      </rPr>
      <t>)</t>
    </r>
  </si>
  <si>
    <t>USL</t>
  </si>
  <si>
    <t>LSL</t>
  </si>
  <si>
    <t>SPEC</t>
  </si>
  <si>
    <t>Process Capability Index (Cpk)</t>
  </si>
  <si>
    <t>Capability Index(Cp)</t>
  </si>
  <si>
    <t>Performance Index (Pp)</t>
  </si>
  <si>
    <t>Process Performance Index (Ppk)</t>
  </si>
  <si>
    <t>Product</t>
  </si>
  <si>
    <t>Characteristic</t>
  </si>
  <si>
    <t>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</si>
</sst>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_);_(* \(#,##0\);_(* &quot;-&quot;_);_(@_)"/>
    <numFmt numFmtId="165" formatCode="_(* #,##0.00_);_(* \(#,##0.00\);_(* &quot;-&quot;??_);_(@_)"/>
    <numFmt numFmtId="166" formatCode="0.0000"/>
    <numFmt numFmtId="167" formatCode="#,##0.000"/>
    <numFmt numFmtId="168" formatCode="0.000"/>
    <numFmt numFmtId="169" formatCode="0.00000"/>
    <numFmt numFmtId="170" formatCode="0.000000"/>
    <numFmt numFmtId="171" formatCode="mmmm\ d\,\ yyyy"/>
  </numFmts>
  <fonts count="28" x14ac:knownFonts="1">
    <font>
      <sz val="10"/>
      <name val="Arial"/>
    </font>
    <font>
      <sz val="10"/>
      <name val="Arial"/>
      <family val="2"/>
      <charset val="238"/>
    </font>
    <font>
      <sz val="10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10"/>
      <color theme="1"/>
      <name val="Times New Roman"/>
      <family val="1"/>
    </font>
    <font>
      <sz val="10"/>
      <color theme="1"/>
      <name val="Arial"/>
      <family val="2"/>
      <charset val="238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8.5"/>
      <color theme="1"/>
      <name val="Arial"/>
      <family val="2"/>
    </font>
    <font>
      <b/>
      <sz val="8.25"/>
      <color theme="1"/>
      <name val="Arial"/>
      <family val="2"/>
    </font>
    <font>
      <b/>
      <sz val="8.5"/>
      <color theme="1"/>
      <name val="Arial"/>
      <family val="2"/>
    </font>
    <font>
      <sz val="8.25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5"/>
      <color theme="1"/>
      <name val="Arial"/>
      <family val="2"/>
    </font>
    <font>
      <sz val="10"/>
      <color theme="0"/>
      <name val="Arial"/>
      <family val="2"/>
      <charset val="238"/>
    </font>
    <font>
      <b/>
      <sz val="8.5"/>
      <color theme="0"/>
      <name val="Arial"/>
      <family val="2"/>
    </font>
    <font>
      <b/>
      <sz val="8.25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4" tint="0.59999389629810485"/>
      <name val="Arial"/>
      <family val="2"/>
    </font>
    <font>
      <b/>
      <sz val="14"/>
      <color theme="1"/>
      <name val="Arial"/>
      <family val="2"/>
      <charset val="238"/>
    </font>
    <font>
      <b/>
      <sz val="14"/>
      <color theme="1"/>
      <name val="Arial"/>
      <family val="2"/>
    </font>
    <font>
      <sz val="8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9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393">
    <xf numFmtId="0" fontId="0" fillId="0" borderId="0" xfId="0"/>
    <xf numFmtId="0" fontId="2" fillId="0" borderId="0" xfId="0" applyFont="1" applyProtection="1">
      <protection hidden="1"/>
    </xf>
    <xf numFmtId="0" fontId="3" fillId="0" borderId="0" xfId="0" applyFont="1" applyProtection="1">
      <protection hidden="1"/>
    </xf>
    <xf numFmtId="168" fontId="3" fillId="0" borderId="0" xfId="0" applyNumberFormat="1" applyFont="1" applyBorder="1" applyAlignment="1" applyProtection="1">
      <alignment shrinkToFit="1"/>
      <protection hidden="1"/>
    </xf>
    <xf numFmtId="0" fontId="3" fillId="0" borderId="0" xfId="0" applyFont="1" applyBorder="1" applyAlignment="1" applyProtection="1">
      <alignment shrinkToFit="1"/>
      <protection hidden="1"/>
    </xf>
    <xf numFmtId="0" fontId="2" fillId="0" borderId="0" xfId="0" applyFont="1" applyBorder="1" applyProtection="1">
      <protection hidden="1"/>
    </xf>
    <xf numFmtId="0" fontId="2" fillId="0" borderId="0" xfId="0" applyFont="1" applyProtection="1">
      <protection locked="0"/>
    </xf>
    <xf numFmtId="168" fontId="2" fillId="0" borderId="0" xfId="0" applyNumberFormat="1" applyFont="1" applyBorder="1" applyAlignment="1" applyProtection="1">
      <alignment horizontal="center" shrinkToFit="1"/>
      <protection locked="0"/>
    </xf>
    <xf numFmtId="0" fontId="6" fillId="0" borderId="0" xfId="0" applyFont="1" applyProtection="1">
      <protection hidden="1"/>
    </xf>
    <xf numFmtId="0" fontId="6" fillId="0" borderId="0" xfId="0" applyFont="1" applyFill="1" applyProtection="1">
      <protection hidden="1"/>
    </xf>
    <xf numFmtId="0" fontId="7" fillId="0" borderId="0" xfId="0" applyFont="1" applyFill="1" applyProtection="1">
      <protection hidden="1"/>
    </xf>
    <xf numFmtId="0" fontId="7" fillId="0" borderId="0" xfId="0" applyFont="1" applyProtection="1">
      <protection locked="0" hidden="1"/>
    </xf>
    <xf numFmtId="0" fontId="7" fillId="0" borderId="0" xfId="0" applyFont="1" applyProtection="1">
      <protection hidden="1"/>
    </xf>
    <xf numFmtId="0" fontId="8" fillId="2" borderId="0" xfId="0" applyFont="1" applyFill="1" applyAlignment="1" applyProtection="1">
      <alignment horizontal="left" vertical="top"/>
      <protection hidden="1"/>
    </xf>
    <xf numFmtId="0" fontId="7" fillId="0" borderId="0" xfId="0" applyFont="1" applyFill="1" applyProtection="1">
      <protection locked="0" hidden="1"/>
    </xf>
    <xf numFmtId="0" fontId="12" fillId="3" borderId="31" xfId="0" applyFont="1" applyFill="1" applyBorder="1" applyAlignment="1" applyProtection="1">
      <alignment horizontal="left" vertical="center"/>
      <protection hidden="1"/>
    </xf>
    <xf numFmtId="0" fontId="13" fillId="3" borderId="32" xfId="0" applyFont="1" applyFill="1" applyBorder="1" applyAlignment="1" applyProtection="1">
      <alignment horizontal="left" shrinkToFit="1"/>
      <protection hidden="1"/>
    </xf>
    <xf numFmtId="0" fontId="13" fillId="3" borderId="32" xfId="0" applyFont="1" applyFill="1" applyBorder="1" applyAlignment="1" applyProtection="1">
      <alignment horizontal="left"/>
      <protection hidden="1"/>
    </xf>
    <xf numFmtId="0" fontId="7" fillId="0" borderId="34" xfId="0" applyFont="1" applyBorder="1" applyProtection="1">
      <protection hidden="1"/>
    </xf>
    <xf numFmtId="0" fontId="15" fillId="0" borderId="0" xfId="0" applyFont="1" applyFill="1" applyBorder="1" applyProtection="1">
      <protection hidden="1"/>
    </xf>
    <xf numFmtId="0" fontId="7" fillId="0" borderId="0" xfId="0" applyFont="1" applyFill="1" applyBorder="1" applyProtection="1">
      <protection hidden="1"/>
    </xf>
    <xf numFmtId="0" fontId="7" fillId="0" borderId="0" xfId="0" applyFont="1" applyFill="1" applyBorder="1" applyAlignment="1" applyProtection="1">
      <alignment horizontal="left"/>
      <protection hidden="1"/>
    </xf>
    <xf numFmtId="0" fontId="13" fillId="3" borderId="33" xfId="0" applyFont="1" applyFill="1" applyBorder="1" applyAlignment="1" applyProtection="1">
      <alignment horizontal="left"/>
      <protection hidden="1"/>
    </xf>
    <xf numFmtId="0" fontId="7" fillId="0" borderId="34" xfId="0" applyFont="1" applyFill="1" applyBorder="1" applyAlignment="1" applyProtection="1">
      <alignment horizontal="center"/>
      <protection hidden="1"/>
    </xf>
    <xf numFmtId="0" fontId="7" fillId="0" borderId="22" xfId="0" applyFont="1" applyBorder="1" applyProtection="1">
      <protection hidden="1"/>
    </xf>
    <xf numFmtId="0" fontId="7" fillId="0" borderId="0" xfId="0" applyFont="1" applyFill="1" applyAlignment="1" applyProtection="1">
      <protection hidden="1"/>
    </xf>
    <xf numFmtId="0" fontId="7" fillId="0" borderId="0" xfId="0" applyFont="1" applyFill="1" applyBorder="1" applyAlignment="1" applyProtection="1">
      <alignment horizontal="right"/>
      <protection hidden="1"/>
    </xf>
    <xf numFmtId="0" fontId="7" fillId="0" borderId="22" xfId="0" applyFont="1" applyFill="1" applyBorder="1" applyAlignment="1" applyProtection="1">
      <alignment horizontal="center"/>
      <protection hidden="1"/>
    </xf>
    <xf numFmtId="0" fontId="6" fillId="0" borderId="35" xfId="0" applyFont="1" applyFill="1" applyBorder="1" applyAlignment="1" applyProtection="1">
      <alignment horizontal="center"/>
      <protection hidden="1"/>
    </xf>
    <xf numFmtId="0" fontId="6" fillId="0" borderId="34" xfId="0" applyFont="1" applyFill="1" applyBorder="1" applyAlignment="1" applyProtection="1">
      <alignment horizontal="center"/>
      <protection hidden="1"/>
    </xf>
    <xf numFmtId="0" fontId="7" fillId="0" borderId="36" xfId="0" applyFont="1" applyFill="1" applyBorder="1" applyAlignment="1" applyProtection="1">
      <alignment horizontal="center"/>
      <protection hidden="1"/>
    </xf>
    <xf numFmtId="0" fontId="6" fillId="0" borderId="30" xfId="0" applyFont="1" applyFill="1" applyBorder="1" applyAlignment="1" applyProtection="1">
      <alignment horizontal="center"/>
      <protection hidden="1"/>
    </xf>
    <xf numFmtId="168" fontId="6" fillId="0" borderId="34" xfId="0" applyNumberFormat="1" applyFont="1" applyFill="1" applyBorder="1" applyAlignment="1" applyProtection="1">
      <alignment horizontal="center"/>
      <protection hidden="1"/>
    </xf>
    <xf numFmtId="168" fontId="7" fillId="0" borderId="34" xfId="0" applyNumberFormat="1" applyFont="1" applyFill="1" applyBorder="1" applyAlignment="1" applyProtection="1">
      <alignment horizontal="center"/>
      <protection hidden="1"/>
    </xf>
    <xf numFmtId="168" fontId="7" fillId="0" borderId="35" xfId="0" applyNumberFormat="1" applyFont="1" applyBorder="1" applyAlignment="1" applyProtection="1">
      <alignment horizontal="center"/>
      <protection hidden="1"/>
    </xf>
    <xf numFmtId="168" fontId="6" fillId="0" borderId="30" xfId="0" applyNumberFormat="1" applyFont="1" applyFill="1" applyBorder="1" applyAlignment="1" applyProtection="1">
      <alignment horizontal="center"/>
      <protection hidden="1"/>
    </xf>
    <xf numFmtId="1" fontId="7" fillId="0" borderId="34" xfId="0" applyNumberFormat="1" applyFont="1" applyBorder="1" applyAlignment="1" applyProtection="1">
      <alignment horizontal="center"/>
      <protection hidden="1"/>
    </xf>
    <xf numFmtId="168" fontId="7" fillId="0" borderId="34" xfId="0" applyNumberFormat="1" applyFont="1" applyBorder="1" applyAlignment="1" applyProtection="1">
      <alignment horizontal="center"/>
      <protection hidden="1"/>
    </xf>
    <xf numFmtId="168" fontId="7" fillId="0" borderId="30" xfId="0" applyNumberFormat="1" applyFont="1" applyBorder="1" applyAlignment="1" applyProtection="1">
      <alignment horizontal="center"/>
      <protection hidden="1"/>
    </xf>
    <xf numFmtId="0" fontId="10" fillId="3" borderId="11" xfId="0" applyFont="1" applyFill="1" applyBorder="1" applyAlignment="1" applyProtection="1">
      <alignment horizontal="center"/>
      <protection hidden="1"/>
    </xf>
    <xf numFmtId="0" fontId="10" fillId="3" borderId="10" xfId="0" applyFont="1" applyFill="1" applyBorder="1" applyAlignment="1" applyProtection="1">
      <alignment horizontal="center"/>
      <protection hidden="1"/>
    </xf>
    <xf numFmtId="0" fontId="6" fillId="3" borderId="10" xfId="0" applyFont="1" applyFill="1" applyBorder="1" applyProtection="1">
      <protection hidden="1"/>
    </xf>
    <xf numFmtId="0" fontId="6" fillId="3" borderId="12" xfId="0" applyFont="1" applyFill="1" applyBorder="1" applyProtection="1">
      <protection hidden="1"/>
    </xf>
    <xf numFmtId="0" fontId="6" fillId="3" borderId="11" xfId="0" applyFont="1" applyFill="1" applyBorder="1" applyProtection="1">
      <protection hidden="1"/>
    </xf>
    <xf numFmtId="0" fontId="13" fillId="3" borderId="10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6" fillId="0" borderId="0" xfId="0" applyFont="1" applyBorder="1" applyProtection="1">
      <protection hidden="1"/>
    </xf>
    <xf numFmtId="0" fontId="15" fillId="0" borderId="0" xfId="0" applyFont="1" applyFill="1" applyBorder="1" applyAlignment="1" applyProtection="1">
      <alignment horizontal="center" vertical="center"/>
      <protection hidden="1"/>
    </xf>
    <xf numFmtId="0" fontId="13" fillId="0" borderId="0" xfId="0" applyFont="1" applyFill="1" applyBorder="1" applyAlignment="1" applyProtection="1">
      <alignment horizontal="center"/>
      <protection hidden="1"/>
    </xf>
    <xf numFmtId="0" fontId="14" fillId="0" borderId="0" xfId="0" applyFont="1" applyFill="1" applyBorder="1" applyAlignment="1" applyProtection="1">
      <alignment horizontal="left"/>
      <protection hidden="1"/>
    </xf>
    <xf numFmtId="0" fontId="13" fillId="0" borderId="0" xfId="0" applyFont="1" applyAlignment="1" applyProtection="1">
      <alignment horizontal="right"/>
      <protection hidden="1"/>
    </xf>
    <xf numFmtId="14" fontId="14" fillId="0" borderId="0" xfId="0" applyNumberFormat="1" applyFont="1" applyFill="1" applyBorder="1" applyAlignment="1" applyProtection="1">
      <alignment horizontal="left"/>
      <protection hidden="1"/>
    </xf>
    <xf numFmtId="0" fontId="14" fillId="0" borderId="0" xfId="0" applyFont="1" applyFill="1" applyBorder="1" applyAlignment="1" applyProtection="1">
      <alignment horizontal="left" indent="4"/>
      <protection hidden="1"/>
    </xf>
    <xf numFmtId="0" fontId="5" fillId="2" borderId="0" xfId="0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Fill="1" applyBorder="1" applyAlignment="1" applyProtection="1">
      <alignment horizontal="right" shrinkToFit="1"/>
      <protection hidden="1"/>
    </xf>
    <xf numFmtId="0" fontId="7" fillId="0" borderId="0" xfId="0" applyFont="1" applyFill="1" applyBorder="1" applyAlignment="1" applyProtection="1">
      <alignment horizontal="right" shrinkToFit="1"/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38" xfId="0" quotePrefix="1" applyFont="1" applyBorder="1" applyAlignment="1" applyProtection="1">
      <alignment horizontal="center"/>
      <protection hidden="1"/>
    </xf>
    <xf numFmtId="0" fontId="15" fillId="0" borderId="40" xfId="0" quotePrefix="1" applyFont="1" applyBorder="1" applyAlignment="1" applyProtection="1">
      <alignment horizontal="center" shrinkToFit="1"/>
      <protection locked="0"/>
    </xf>
    <xf numFmtId="0" fontId="15" fillId="0" borderId="39" xfId="0" applyFont="1" applyBorder="1" applyAlignment="1" applyProtection="1">
      <alignment horizontal="center"/>
      <protection hidden="1"/>
    </xf>
    <xf numFmtId="0" fontId="15" fillId="0" borderId="1" xfId="0" applyFont="1" applyBorder="1" applyAlignment="1" applyProtection="1">
      <alignment horizontal="center"/>
      <protection hidden="1"/>
    </xf>
    <xf numFmtId="0" fontId="15" fillId="0" borderId="2" xfId="0" applyFont="1" applyBorder="1" applyAlignment="1" applyProtection="1">
      <alignment horizontal="center"/>
      <protection hidden="1"/>
    </xf>
    <xf numFmtId="166" fontId="6" fillId="0" borderId="4" xfId="0" applyNumberFormat="1" applyFont="1" applyBorder="1" applyAlignment="1" applyProtection="1">
      <alignment horizontal="center" shrinkToFit="1"/>
      <protection hidden="1"/>
    </xf>
    <xf numFmtId="166" fontId="6" fillId="0" borderId="5" xfId="0" applyNumberFormat="1" applyFont="1" applyBorder="1" applyAlignment="1" applyProtection="1">
      <alignment horizontal="center" shrinkToFit="1"/>
      <protection hidden="1"/>
    </xf>
    <xf numFmtId="0" fontId="10" fillId="0" borderId="0" xfId="0" applyFont="1" applyFill="1" applyAlignment="1" applyProtection="1">
      <alignment horizontal="center"/>
      <protection hidden="1"/>
    </xf>
    <xf numFmtId="0" fontId="10" fillId="0" borderId="0" xfId="0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Protection="1">
      <protection hidden="1"/>
    </xf>
    <xf numFmtId="0" fontId="7" fillId="3" borderId="18" xfId="0" applyFont="1" applyFill="1" applyBorder="1" applyProtection="1">
      <protection hidden="1"/>
    </xf>
    <xf numFmtId="0" fontId="7" fillId="3" borderId="13" xfId="0" applyFont="1" applyFill="1" applyBorder="1" applyProtection="1">
      <protection hidden="1"/>
    </xf>
    <xf numFmtId="0" fontId="7" fillId="3" borderId="25" xfId="0" applyFont="1" applyFill="1" applyBorder="1" applyProtection="1">
      <protection hidden="1"/>
    </xf>
    <xf numFmtId="0" fontId="7" fillId="3" borderId="21" xfId="0" applyFont="1" applyFill="1" applyBorder="1" applyProtection="1">
      <protection hidden="1"/>
    </xf>
    <xf numFmtId="0" fontId="7" fillId="3" borderId="24" xfId="0" applyFont="1" applyFill="1" applyBorder="1" applyProtection="1">
      <protection hidden="1"/>
    </xf>
    <xf numFmtId="0" fontId="7" fillId="3" borderId="30" xfId="0" applyFont="1" applyFill="1" applyBorder="1" applyProtection="1">
      <protection hidden="1"/>
    </xf>
    <xf numFmtId="168" fontId="7" fillId="0" borderId="0" xfId="0" applyNumberFormat="1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/>
      <protection hidden="1"/>
    </xf>
    <xf numFmtId="168" fontId="15" fillId="0" borderId="0" xfId="0" applyNumberFormat="1" applyFont="1" applyBorder="1" applyAlignment="1" applyProtection="1">
      <alignment horizontal="center"/>
      <protection hidden="1"/>
    </xf>
    <xf numFmtId="0" fontId="7" fillId="3" borderId="24" xfId="0" applyFont="1" applyFill="1" applyBorder="1" applyAlignment="1" applyProtection="1">
      <alignment horizontal="right"/>
      <protection hidden="1"/>
    </xf>
    <xf numFmtId="0" fontId="7" fillId="3" borderId="24" xfId="0" applyFont="1" applyFill="1" applyBorder="1" applyAlignment="1" applyProtection="1">
      <alignment horizontal="left"/>
      <protection hidden="1"/>
    </xf>
    <xf numFmtId="0" fontId="15" fillId="3" borderId="24" xfId="0" applyFont="1" applyFill="1" applyBorder="1" applyAlignment="1" applyProtection="1">
      <alignment horizontal="left" vertical="center"/>
      <protection hidden="1"/>
    </xf>
    <xf numFmtId="0" fontId="15" fillId="3" borderId="30" xfId="0" applyFont="1" applyFill="1" applyBorder="1" applyAlignment="1" applyProtection="1">
      <alignment horizontal="left" vertical="center"/>
      <protection hidden="1"/>
    </xf>
    <xf numFmtId="0" fontId="6" fillId="0" borderId="3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13" fillId="0" borderId="3" xfId="0" applyFont="1" applyBorder="1" applyAlignment="1" applyProtection="1">
      <alignment horizontal="left" indent="1"/>
      <protection hidden="1"/>
    </xf>
    <xf numFmtId="0" fontId="6" fillId="0" borderId="7" xfId="0" applyFont="1" applyBorder="1" applyProtection="1">
      <protection hidden="1"/>
    </xf>
    <xf numFmtId="0" fontId="6" fillId="0" borderId="8" xfId="0" applyFont="1" applyBorder="1" applyProtection="1">
      <protection hidden="1"/>
    </xf>
    <xf numFmtId="0" fontId="6" fillId="0" borderId="9" xfId="0" applyFont="1" applyBorder="1" applyProtection="1">
      <protection hidden="1"/>
    </xf>
    <xf numFmtId="0" fontId="7" fillId="0" borderId="0" xfId="0" applyFont="1" applyBorder="1" applyProtection="1">
      <protection hidden="1"/>
    </xf>
    <xf numFmtId="170" fontId="7" fillId="0" borderId="0" xfId="0" applyNumberFormat="1" applyFont="1" applyBorder="1" applyAlignment="1" applyProtection="1">
      <alignment horizontal="left" vertical="center" shrinkToFit="1"/>
      <protection hidden="1"/>
    </xf>
    <xf numFmtId="169" fontId="7" fillId="0" borderId="0" xfId="0" applyNumberFormat="1" applyFont="1" applyBorder="1" applyAlignment="1" applyProtection="1">
      <alignment horizontal="left" vertical="center" shrinkToFit="1"/>
      <protection hidden="1"/>
    </xf>
    <xf numFmtId="0" fontId="7" fillId="0" borderId="0" xfId="0" applyFont="1" applyBorder="1" applyAlignment="1" applyProtection="1">
      <alignment horizontal="center" shrinkToFit="1"/>
      <protection hidden="1"/>
    </xf>
    <xf numFmtId="168" fontId="7" fillId="0" borderId="0" xfId="0" applyNumberFormat="1" applyFont="1" applyBorder="1" applyAlignment="1" applyProtection="1">
      <alignment horizontal="left" vertical="center" shrinkToFit="1"/>
      <protection hidden="1"/>
    </xf>
    <xf numFmtId="0" fontId="7" fillId="0" borderId="0" xfId="0" applyFont="1" applyBorder="1" applyAlignment="1" applyProtection="1">
      <alignment horizontal="left" vertical="center" shrinkToFit="1"/>
      <protection hidden="1"/>
    </xf>
    <xf numFmtId="168" fontId="7" fillId="0" borderId="0" xfId="0" applyNumberFormat="1" applyFont="1" applyBorder="1" applyAlignment="1" applyProtection="1">
      <alignment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0" fontId="7" fillId="0" borderId="0" xfId="0" quotePrefix="1" applyFont="1" applyBorder="1" applyAlignment="1" applyProtection="1">
      <alignment horizontal="center" vertical="center" shrinkToFit="1"/>
      <protection hidden="1"/>
    </xf>
    <xf numFmtId="1" fontId="7" fillId="0" borderId="0" xfId="0" applyNumberFormat="1" applyFont="1" applyBorder="1" applyAlignment="1" applyProtection="1">
      <alignment horizontal="left" vertical="center" shrinkToFit="1"/>
      <protection hidden="1"/>
    </xf>
    <xf numFmtId="0" fontId="18" fillId="0" borderId="0" xfId="0" applyFont="1" applyProtection="1"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34" xfId="0" applyFont="1" applyBorder="1" applyAlignment="1" applyProtection="1">
      <alignment horizontal="center"/>
      <protection hidden="1"/>
    </xf>
    <xf numFmtId="0" fontId="7" fillId="0" borderId="22" xfId="0" applyFont="1" applyBorder="1" applyAlignment="1" applyProtection="1">
      <alignment horizontal="center"/>
      <protection hidden="1"/>
    </xf>
    <xf numFmtId="0" fontId="7" fillId="0" borderId="35" xfId="0" applyFont="1" applyBorder="1" applyAlignment="1" applyProtection="1">
      <alignment horizontal="center"/>
      <protection hidden="1"/>
    </xf>
    <xf numFmtId="0" fontId="7" fillId="0" borderId="36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14" fillId="6" borderId="0" xfId="0" applyFont="1" applyFill="1" applyBorder="1" applyAlignment="1" applyProtection="1">
      <alignment horizontal="center" vertical="center"/>
      <protection hidden="1"/>
    </xf>
    <xf numFmtId="0" fontId="6" fillId="6" borderId="0" xfId="0" applyFont="1" applyFill="1" applyBorder="1" applyProtection="1">
      <protection hidden="1"/>
    </xf>
    <xf numFmtId="0" fontId="15" fillId="6" borderId="0" xfId="0" applyFont="1" applyFill="1" applyBorder="1" applyAlignment="1" applyProtection="1">
      <alignment horizontal="center" vertical="center"/>
      <protection hidden="1"/>
    </xf>
    <xf numFmtId="0" fontId="14" fillId="6" borderId="0" xfId="0" applyFont="1" applyFill="1" applyBorder="1" applyAlignment="1" applyProtection="1">
      <alignment horizontal="left"/>
      <protection hidden="1"/>
    </xf>
    <xf numFmtId="14" fontId="14" fillId="6" borderId="0" xfId="0" applyNumberFormat="1" applyFont="1" applyFill="1" applyBorder="1" applyAlignment="1" applyProtection="1">
      <alignment horizontal="left"/>
      <protection hidden="1"/>
    </xf>
    <xf numFmtId="0" fontId="14" fillId="6" borderId="0" xfId="0" applyFont="1" applyFill="1" applyBorder="1" applyAlignment="1" applyProtection="1">
      <alignment horizontal="left" indent="4"/>
      <protection hidden="1"/>
    </xf>
    <xf numFmtId="0" fontId="5" fillId="6" borderId="0" xfId="0" applyFont="1" applyFill="1" applyBorder="1" applyAlignment="1" applyProtection="1">
      <alignment horizontal="right" vertical="center"/>
      <protection hidden="1"/>
    </xf>
    <xf numFmtId="0" fontId="15" fillId="0" borderId="50" xfId="0" quotePrefix="1" applyFont="1" applyBorder="1" applyAlignment="1" applyProtection="1">
      <alignment horizontal="center"/>
      <protection hidden="1"/>
    </xf>
    <xf numFmtId="0" fontId="15" fillId="0" borderId="11" xfId="0" quotePrefix="1" applyFont="1" applyBorder="1" applyAlignment="1" applyProtection="1">
      <alignment horizontal="center" shrinkToFit="1"/>
      <protection locked="0"/>
    </xf>
    <xf numFmtId="0" fontId="11" fillId="6" borderId="0" xfId="0" applyFont="1" applyFill="1" applyBorder="1" applyAlignment="1" applyProtection="1">
      <alignment horizontal="right"/>
      <protection hidden="1"/>
    </xf>
    <xf numFmtId="0" fontId="12" fillId="6" borderId="0" xfId="0" applyFont="1" applyFill="1" applyBorder="1" applyAlignment="1" applyProtection="1">
      <alignment horizontal="center" vertical="center"/>
      <protection hidden="1"/>
    </xf>
    <xf numFmtId="0" fontId="13" fillId="6" borderId="0" xfId="0" applyFont="1" applyFill="1" applyBorder="1" applyAlignment="1" applyProtection="1">
      <alignment horizontal="right"/>
      <protection hidden="1"/>
    </xf>
    <xf numFmtId="0" fontId="15" fillId="6" borderId="0" xfId="0" quotePrefix="1" applyFont="1" applyFill="1" applyBorder="1" applyAlignment="1" applyProtection="1">
      <alignment horizontal="center"/>
      <protection hidden="1"/>
    </xf>
    <xf numFmtId="0" fontId="15" fillId="6" borderId="0" xfId="0" quotePrefix="1" applyFont="1" applyFill="1" applyBorder="1" applyAlignment="1" applyProtection="1">
      <alignment horizontal="center" shrinkToFit="1"/>
      <protection locked="0"/>
    </xf>
    <xf numFmtId="166" fontId="6" fillId="6" borderId="0" xfId="0" applyNumberFormat="1" applyFont="1" applyFill="1" applyBorder="1" applyAlignment="1" applyProtection="1">
      <alignment horizontal="center" shrinkToFit="1"/>
      <protection hidden="1"/>
    </xf>
    <xf numFmtId="166" fontId="19" fillId="0" borderId="0" xfId="0" applyNumberFormat="1" applyFont="1" applyFill="1" applyBorder="1" applyAlignment="1" applyProtection="1">
      <alignment horizontal="center" shrinkToFit="1"/>
      <protection locked="0"/>
    </xf>
    <xf numFmtId="166" fontId="19" fillId="0" borderId="0" xfId="0" applyNumberFormat="1" applyFont="1" applyFill="1" applyBorder="1" applyAlignment="1" applyProtection="1">
      <alignment horizontal="center" shrinkToFit="1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0" fillId="6" borderId="0" xfId="0" applyFont="1" applyFill="1" applyBorder="1" applyAlignment="1" applyProtection="1">
      <protection hidden="1"/>
    </xf>
    <xf numFmtId="0" fontId="13" fillId="6" borderId="0" xfId="0" applyFont="1" applyFill="1" applyBorder="1" applyAlignment="1" applyProtection="1">
      <alignment vertical="center"/>
      <protection hidden="1"/>
    </xf>
    <xf numFmtId="0" fontId="13" fillId="6" borderId="0" xfId="0" applyFont="1" applyFill="1" applyBorder="1" applyAlignment="1" applyProtection="1">
      <protection hidden="1"/>
    </xf>
    <xf numFmtId="0" fontId="13" fillId="6" borderId="0" xfId="0" applyFont="1" applyFill="1" applyBorder="1" applyAlignment="1" applyProtection="1">
      <alignment shrinkToFit="1"/>
      <protection hidden="1"/>
    </xf>
    <xf numFmtId="0" fontId="9" fillId="6" borderId="0" xfId="0" applyFont="1" applyFill="1" applyBorder="1" applyAlignment="1" applyProtection="1">
      <alignment vertical="center"/>
      <protection hidden="1"/>
    </xf>
    <xf numFmtId="0" fontId="12" fillId="6" borderId="0" xfId="0" applyFont="1" applyFill="1" applyBorder="1" applyAlignment="1" applyProtection="1">
      <protection hidden="1"/>
    </xf>
    <xf numFmtId="168" fontId="12" fillId="6" borderId="0" xfId="0" applyNumberFormat="1" applyFont="1" applyFill="1" applyBorder="1" applyAlignment="1" applyProtection="1">
      <protection hidden="1"/>
    </xf>
    <xf numFmtId="0" fontId="6" fillId="6" borderId="0" xfId="0" applyFont="1" applyFill="1" applyBorder="1" applyAlignment="1" applyProtection="1">
      <protection hidden="1"/>
    </xf>
    <xf numFmtId="168" fontId="13" fillId="6" borderId="0" xfId="0" applyNumberFormat="1" applyFont="1" applyFill="1" applyBorder="1" applyAlignment="1" applyProtection="1">
      <alignment vertical="center"/>
      <protection hidden="1"/>
    </xf>
    <xf numFmtId="0" fontId="15" fillId="6" borderId="0" xfId="0" applyFont="1" applyFill="1" applyBorder="1" applyAlignment="1" applyProtection="1">
      <protection hidden="1"/>
    </xf>
    <xf numFmtId="0" fontId="2" fillId="0" borderId="26" xfId="0" applyFont="1" applyBorder="1" applyProtection="1">
      <protection hidden="1"/>
    </xf>
    <xf numFmtId="0" fontId="2" fillId="0" borderId="53" xfId="0" applyFont="1" applyBorder="1" applyProtection="1">
      <protection locked="0"/>
    </xf>
    <xf numFmtId="0" fontId="3" fillId="0" borderId="53" xfId="0" applyFont="1" applyBorder="1" applyProtection="1">
      <protection hidden="1"/>
    </xf>
    <xf numFmtId="0" fontId="2" fillId="0" borderId="53" xfId="0" applyFont="1" applyBorder="1" applyProtection="1">
      <protection hidden="1"/>
    </xf>
    <xf numFmtId="0" fontId="7" fillId="0" borderId="53" xfId="0" applyFont="1" applyFill="1" applyBorder="1" applyProtection="1">
      <protection hidden="1"/>
    </xf>
    <xf numFmtId="0" fontId="7" fillId="0" borderId="53" xfId="0" applyFont="1" applyBorder="1" applyProtection="1">
      <protection hidden="1"/>
    </xf>
    <xf numFmtId="0" fontId="7" fillId="0" borderId="42" xfId="0" applyFont="1" applyBorder="1" applyProtection="1">
      <protection hidden="1"/>
    </xf>
    <xf numFmtId="0" fontId="2" fillId="0" borderId="3" xfId="0" applyFont="1" applyBorder="1" applyProtection="1">
      <protection hidden="1"/>
    </xf>
    <xf numFmtId="0" fontId="2" fillId="0" borderId="0" xfId="0" applyFont="1" applyBorder="1" applyProtection="1">
      <protection locked="0"/>
    </xf>
    <xf numFmtId="0" fontId="3" fillId="0" borderId="0" xfId="0" applyFont="1" applyBorder="1" applyProtection="1">
      <protection hidden="1"/>
    </xf>
    <xf numFmtId="0" fontId="7" fillId="0" borderId="6" xfId="0" applyFont="1" applyBorder="1" applyProtection="1">
      <protection hidden="1"/>
    </xf>
    <xf numFmtId="0" fontId="7" fillId="0" borderId="3" xfId="0" applyFont="1" applyBorder="1" applyProtection="1">
      <protection hidden="1"/>
    </xf>
    <xf numFmtId="10" fontId="17" fillId="0" borderId="0" xfId="0" applyNumberFormat="1" applyFont="1" applyBorder="1" applyProtection="1">
      <protection hidden="1"/>
    </xf>
    <xf numFmtId="0" fontId="7" fillId="0" borderId="0" xfId="0" applyFont="1" applyBorder="1" applyAlignment="1" applyProtection="1">
      <alignment horizontal="left"/>
      <protection hidden="1"/>
    </xf>
    <xf numFmtId="0" fontId="7" fillId="4" borderId="0" xfId="0" applyFont="1" applyFill="1" applyBorder="1" applyAlignment="1" applyProtection="1">
      <alignment horizontal="center"/>
      <protection locked="0"/>
    </xf>
    <xf numFmtId="168" fontId="7" fillId="0" borderId="0" xfId="0" applyNumberFormat="1" applyFont="1" applyBorder="1" applyProtection="1">
      <protection hidden="1"/>
    </xf>
    <xf numFmtId="0" fontId="2" fillId="0" borderId="6" xfId="0" applyFont="1" applyBorder="1" applyProtection="1">
      <protection hidden="1"/>
    </xf>
    <xf numFmtId="0" fontId="2" fillId="0" borderId="7" xfId="0" applyFont="1" applyBorder="1" applyProtection="1">
      <protection hidden="1"/>
    </xf>
    <xf numFmtId="0" fontId="2" fillId="0" borderId="8" xfId="0" applyFont="1" applyBorder="1" applyProtection="1">
      <protection locked="0"/>
    </xf>
    <xf numFmtId="0" fontId="3" fillId="0" borderId="8" xfId="0" applyFont="1" applyBorder="1" applyProtection="1">
      <protection hidden="1"/>
    </xf>
    <xf numFmtId="0" fontId="2" fillId="0" borderId="8" xfId="0" applyFont="1" applyBorder="1" applyProtection="1">
      <protection hidden="1"/>
    </xf>
    <xf numFmtId="0" fontId="2" fillId="0" borderId="9" xfId="0" applyFont="1" applyBorder="1" applyProtection="1">
      <protection hidden="1"/>
    </xf>
    <xf numFmtId="0" fontId="7" fillId="0" borderId="26" xfId="0" applyFont="1" applyFill="1" applyBorder="1" applyProtection="1">
      <protection hidden="1"/>
    </xf>
    <xf numFmtId="0" fontId="9" fillId="0" borderId="53" xfId="0" applyFont="1" applyBorder="1" applyProtection="1">
      <protection hidden="1"/>
    </xf>
    <xf numFmtId="0" fontId="7" fillId="0" borderId="3" xfId="0" applyFont="1" applyFill="1" applyBorder="1" applyProtection="1">
      <protection locked="0" hidden="1"/>
    </xf>
    <xf numFmtId="0" fontId="9" fillId="0" borderId="0" xfId="0" applyFont="1" applyBorder="1" applyProtection="1">
      <protection hidden="1"/>
    </xf>
    <xf numFmtId="0" fontId="10" fillId="0" borderId="3" xfId="0" applyFont="1" applyBorder="1" applyAlignment="1" applyProtection="1">
      <alignment horizontal="center"/>
      <protection hidden="1"/>
    </xf>
    <xf numFmtId="0" fontId="13" fillId="0" borderId="3" xfId="0" applyFont="1" applyFill="1" applyBorder="1" applyAlignment="1" applyProtection="1">
      <alignment horizontal="center" vertical="center"/>
      <protection hidden="1"/>
    </xf>
    <xf numFmtId="0" fontId="13" fillId="0" borderId="3" xfId="0" applyFont="1" applyFill="1" applyBorder="1" applyAlignment="1" applyProtection="1">
      <alignment horizontal="center" shrinkToFit="1"/>
      <protection hidden="1"/>
    </xf>
    <xf numFmtId="0" fontId="9" fillId="0" borderId="3" xfId="0" applyFont="1" applyFill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7" fillId="0" borderId="0" xfId="0" applyFont="1" applyFill="1" applyBorder="1" applyAlignment="1" applyProtection="1">
      <protection hidden="1"/>
    </xf>
    <xf numFmtId="0" fontId="7" fillId="0" borderId="6" xfId="0" applyFont="1" applyFill="1" applyBorder="1" applyProtection="1">
      <protection hidden="1"/>
    </xf>
    <xf numFmtId="0" fontId="9" fillId="0" borderId="3" xfId="0" applyFont="1" applyFill="1" applyBorder="1" applyAlignment="1" applyProtection="1">
      <alignment horizontal="center"/>
      <protection hidden="1"/>
    </xf>
    <xf numFmtId="0" fontId="15" fillId="0" borderId="3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Protection="1">
      <protection hidden="1"/>
    </xf>
    <xf numFmtId="168" fontId="7" fillId="0" borderId="0" xfId="0" applyNumberFormat="1" applyFont="1" applyFill="1" applyBorder="1" applyAlignment="1" applyProtection="1">
      <protection hidden="1"/>
    </xf>
    <xf numFmtId="166" fontId="7" fillId="0" borderId="0" xfId="0" applyNumberFormat="1" applyFont="1" applyFill="1" applyBorder="1" applyAlignment="1" applyProtection="1">
      <protection hidden="1"/>
    </xf>
    <xf numFmtId="0" fontId="7" fillId="0" borderId="0" xfId="0" applyFont="1" applyFill="1" applyBorder="1" applyAlignment="1" applyProtection="1">
      <alignment horizontal="right"/>
    </xf>
    <xf numFmtId="166" fontId="7" fillId="0" borderId="0" xfId="0" applyNumberFormat="1" applyFont="1" applyFill="1" applyBorder="1" applyAlignment="1" applyProtection="1"/>
    <xf numFmtId="0" fontId="15" fillId="0" borderId="3" xfId="0" applyFont="1" applyFill="1" applyBorder="1" applyAlignment="1" applyProtection="1">
      <alignment horizontal="center"/>
      <protection hidden="1"/>
    </xf>
    <xf numFmtId="0" fontId="15" fillId="0" borderId="3" xfId="0" quotePrefix="1" applyFont="1" applyFill="1" applyBorder="1" applyAlignment="1" applyProtection="1">
      <alignment horizontal="center"/>
      <protection hidden="1"/>
    </xf>
    <xf numFmtId="0" fontId="15" fillId="0" borderId="3" xfId="0" quotePrefix="1" applyFont="1" applyFill="1" applyBorder="1" applyAlignment="1" applyProtection="1">
      <alignment horizontal="center" shrinkToFit="1"/>
      <protection locked="0"/>
    </xf>
    <xf numFmtId="166" fontId="7" fillId="0" borderId="3" xfId="0" applyNumberFormat="1" applyFont="1" applyFill="1" applyBorder="1" applyAlignment="1" applyProtection="1">
      <alignment horizontal="center" shrinkToFit="1"/>
      <protection locked="0"/>
    </xf>
    <xf numFmtId="166" fontId="7" fillId="0" borderId="3" xfId="0" applyNumberFormat="1" applyFont="1" applyFill="1" applyBorder="1" applyAlignment="1" applyProtection="1">
      <alignment horizontal="center" shrinkToFit="1"/>
      <protection hidden="1"/>
    </xf>
    <xf numFmtId="0" fontId="7" fillId="0" borderId="6" xfId="0" applyFont="1" applyFill="1" applyBorder="1" applyAlignment="1" applyProtection="1">
      <alignment horizontal="right"/>
      <protection hidden="1"/>
    </xf>
    <xf numFmtId="0" fontId="10" fillId="0" borderId="3" xfId="0" applyFont="1" applyFill="1" applyBorder="1" applyAlignment="1" applyProtection="1">
      <alignment horizontal="center"/>
      <protection hidden="1"/>
    </xf>
    <xf numFmtId="166" fontId="7" fillId="0" borderId="0" xfId="0" applyNumberFormat="1" applyFont="1" applyBorder="1" applyProtection="1">
      <protection hidden="1"/>
    </xf>
    <xf numFmtId="0" fontId="15" fillId="0" borderId="0" xfId="0" applyFont="1" applyBorder="1" applyProtection="1">
      <protection hidden="1"/>
    </xf>
    <xf numFmtId="0" fontId="15" fillId="0" borderId="0" xfId="0" applyFont="1" applyBorder="1" applyAlignment="1" applyProtection="1">
      <alignment horizontal="right"/>
      <protection hidden="1"/>
    </xf>
    <xf numFmtId="0" fontId="7" fillId="0" borderId="0" xfId="0" quotePrefix="1" applyFont="1" applyFill="1" applyBorder="1" applyAlignment="1" applyProtection="1">
      <protection hidden="1"/>
    </xf>
    <xf numFmtId="0" fontId="7" fillId="0" borderId="3" xfId="0" applyFont="1" applyFill="1" applyBorder="1" applyAlignment="1" applyProtection="1">
      <protection hidden="1"/>
    </xf>
    <xf numFmtId="0" fontId="7" fillId="0" borderId="7" xfId="0" applyFont="1" applyFill="1" applyBorder="1" applyProtection="1">
      <protection hidden="1"/>
    </xf>
    <xf numFmtId="0" fontId="7" fillId="0" borderId="8" xfId="0" applyFont="1" applyBorder="1" applyProtection="1">
      <protection hidden="1"/>
    </xf>
    <xf numFmtId="0" fontId="7" fillId="0" borderId="9" xfId="0" applyFont="1" applyBorder="1" applyProtection="1">
      <protection hidden="1"/>
    </xf>
    <xf numFmtId="0" fontId="2" fillId="0" borderId="53" xfId="0" applyFont="1" applyBorder="1" applyAlignment="1" applyProtection="1">
      <alignment horizontal="center" shrinkToFit="1"/>
      <protection locked="0"/>
    </xf>
    <xf numFmtId="0" fontId="3" fillId="0" borderId="53" xfId="0" applyFont="1" applyBorder="1" applyAlignment="1" applyProtection="1">
      <alignment horizontal="center" shrinkToFit="1"/>
      <protection hidden="1"/>
    </xf>
    <xf numFmtId="0" fontId="3" fillId="0" borderId="53" xfId="0" applyFont="1" applyBorder="1" applyAlignment="1" applyProtection="1">
      <alignment horizontal="center"/>
      <protection locked="0" hidden="1"/>
    </xf>
    <xf numFmtId="0" fontId="2" fillId="0" borderId="42" xfId="0" applyFont="1" applyBorder="1" applyProtection="1">
      <protection hidden="1"/>
    </xf>
    <xf numFmtId="0" fontId="4" fillId="0" borderId="0" xfId="0" applyFont="1" applyBorder="1" applyProtection="1">
      <protection locked="0" hidden="1"/>
    </xf>
    <xf numFmtId="0" fontId="3" fillId="0" borderId="0" xfId="0" applyFont="1" applyBorder="1" applyProtection="1">
      <protection locked="0" hidden="1"/>
    </xf>
    <xf numFmtId="2" fontId="6" fillId="0" borderId="34" xfId="0" applyNumberFormat="1" applyFont="1" applyBorder="1" applyAlignment="1">
      <alignment horizontal="center"/>
    </xf>
    <xf numFmtId="0" fontId="6" fillId="0" borderId="26" xfId="0" applyFont="1" applyBorder="1" applyProtection="1">
      <protection hidden="1"/>
    </xf>
    <xf numFmtId="0" fontId="6" fillId="0" borderId="53" xfId="0" applyFont="1" applyBorder="1" applyProtection="1">
      <protection hidden="1"/>
    </xf>
    <xf numFmtId="2" fontId="7" fillId="0" borderId="0" xfId="0" applyNumberFormat="1" applyFont="1" applyBorder="1" applyAlignment="1" applyProtection="1">
      <alignment horizontal="left" vertical="center" shrinkToFit="1"/>
      <protection hidden="1"/>
    </xf>
    <xf numFmtId="2" fontId="7" fillId="0" borderId="0" xfId="0" applyNumberFormat="1" applyFont="1" applyFill="1" applyBorder="1" applyAlignment="1" applyProtection="1">
      <protection hidden="1"/>
    </xf>
    <xf numFmtId="2" fontId="6" fillId="0" borderId="4" xfId="0" applyNumberFormat="1" applyFont="1" applyBorder="1" applyAlignment="1" applyProtection="1">
      <alignment horizontal="center" shrinkToFit="1"/>
      <protection hidden="1"/>
    </xf>
    <xf numFmtId="2" fontId="6" fillId="0" borderId="60" xfId="0" applyNumberFormat="1" applyFont="1" applyBorder="1" applyAlignment="1" applyProtection="1">
      <alignment horizontal="center" shrinkToFit="1"/>
      <protection hidden="1"/>
    </xf>
    <xf numFmtId="2" fontId="6" fillId="0" borderId="5" xfId="0" applyNumberFormat="1" applyFont="1" applyBorder="1" applyAlignment="1" applyProtection="1">
      <alignment horizontal="center" shrinkToFit="1"/>
      <protection hidden="1"/>
    </xf>
    <xf numFmtId="2" fontId="6" fillId="0" borderId="61" xfId="0" applyNumberFormat="1" applyFont="1" applyBorder="1" applyAlignment="1" applyProtection="1">
      <alignment horizontal="center" shrinkToFit="1"/>
      <protection hidden="1"/>
    </xf>
    <xf numFmtId="2" fontId="13" fillId="4" borderId="27" xfId="0" applyNumberFormat="1" applyFont="1" applyFill="1" applyBorder="1" applyAlignment="1" applyProtection="1">
      <alignment horizontal="center" shrinkToFit="1"/>
      <protection hidden="1"/>
    </xf>
    <xf numFmtId="168" fontId="7" fillId="0" borderId="26" xfId="0" applyNumberFormat="1" applyFont="1" applyFill="1" applyBorder="1" applyAlignment="1" applyProtection="1">
      <protection hidden="1"/>
    </xf>
    <xf numFmtId="168" fontId="7" fillId="0" borderId="53" xfId="0" applyNumberFormat="1" applyFont="1" applyFill="1" applyBorder="1" applyAlignment="1" applyProtection="1">
      <protection hidden="1"/>
    </xf>
    <xf numFmtId="168" fontId="7" fillId="0" borderId="3" xfId="0" applyNumberFormat="1" applyFont="1" applyFill="1" applyBorder="1" applyAlignment="1" applyProtection="1">
      <protection hidden="1"/>
    </xf>
    <xf numFmtId="166" fontId="7" fillId="0" borderId="7" xfId="0" applyNumberFormat="1" applyFont="1" applyBorder="1" applyProtection="1">
      <protection hidden="1"/>
    </xf>
    <xf numFmtId="166" fontId="7" fillId="0" borderId="8" xfId="0" applyNumberFormat="1" applyFont="1" applyBorder="1" applyProtection="1">
      <protection hidden="1"/>
    </xf>
    <xf numFmtId="0" fontId="7" fillId="0" borderId="26" xfId="0" applyFont="1" applyFill="1" applyBorder="1" applyAlignment="1" applyProtection="1">
      <alignment horizontal="right" shrinkToFit="1"/>
      <protection hidden="1"/>
    </xf>
    <xf numFmtId="0" fontId="7" fillId="0" borderId="53" xfId="0" applyFont="1" applyFill="1" applyBorder="1" applyAlignment="1" applyProtection="1">
      <alignment horizontal="right" shrinkToFit="1"/>
      <protection hidden="1"/>
    </xf>
    <xf numFmtId="0" fontId="7" fillId="0" borderId="3" xfId="0" applyFont="1" applyFill="1" applyBorder="1" applyAlignment="1" applyProtection="1">
      <alignment horizontal="right"/>
      <protection hidden="1"/>
    </xf>
    <xf numFmtId="0" fontId="7" fillId="0" borderId="7" xfId="0" applyFont="1" applyFill="1" applyBorder="1" applyAlignment="1" applyProtection="1">
      <alignment horizontal="right"/>
      <protection hidden="1"/>
    </xf>
    <xf numFmtId="0" fontId="7" fillId="0" borderId="8" xfId="0" applyFont="1" applyFill="1" applyBorder="1" applyAlignment="1" applyProtection="1">
      <alignment horizontal="right"/>
      <protection hidden="1"/>
    </xf>
    <xf numFmtId="2" fontId="7" fillId="0" borderId="26" xfId="0" applyNumberFormat="1" applyFont="1" applyFill="1" applyBorder="1" applyAlignment="1" applyProtection="1">
      <protection hidden="1"/>
    </xf>
    <xf numFmtId="2" fontId="7" fillId="0" borderId="53" xfId="0" applyNumberFormat="1" applyFont="1" applyFill="1" applyBorder="1" applyAlignment="1" applyProtection="1">
      <protection hidden="1"/>
    </xf>
    <xf numFmtId="2" fontId="7" fillId="0" borderId="3" xfId="0" applyNumberFormat="1" applyFont="1" applyFill="1" applyBorder="1" applyAlignment="1" applyProtection="1">
      <protection hidden="1"/>
    </xf>
    <xf numFmtId="2" fontId="7" fillId="0" borderId="7" xfId="0" applyNumberFormat="1" applyFont="1" applyFill="1" applyBorder="1" applyAlignment="1" applyProtection="1">
      <protection hidden="1"/>
    </xf>
    <xf numFmtId="2" fontId="7" fillId="0" borderId="8" xfId="0" applyNumberFormat="1" applyFont="1" applyFill="1" applyBorder="1" applyAlignment="1" applyProtection="1">
      <protection hidden="1"/>
    </xf>
    <xf numFmtId="0" fontId="15" fillId="0" borderId="34" xfId="0" quotePrefix="1" applyFont="1" applyBorder="1" applyAlignment="1" applyProtection="1">
      <alignment horizontal="center"/>
      <protection hidden="1"/>
    </xf>
    <xf numFmtId="0" fontId="15" fillId="0" borderId="34" xfId="0" quotePrefix="1" applyFont="1" applyBorder="1" applyAlignment="1" applyProtection="1">
      <alignment horizontal="center" shrinkToFit="1"/>
      <protection locked="0"/>
    </xf>
    <xf numFmtId="2" fontId="6" fillId="0" borderId="34" xfId="0" applyNumberFormat="1" applyFont="1" applyBorder="1" applyAlignment="1" applyProtection="1">
      <alignment horizontal="center" shrinkToFit="1"/>
      <protection hidden="1"/>
    </xf>
    <xf numFmtId="0" fontId="24" fillId="3" borderId="10" xfId="0" applyFont="1" applyFill="1" applyBorder="1" applyAlignment="1" applyProtection="1">
      <alignment horizontal="center"/>
      <protection hidden="1"/>
    </xf>
    <xf numFmtId="2" fontId="13" fillId="7" borderId="27" xfId="0" applyNumberFormat="1" applyFont="1" applyFill="1" applyBorder="1" applyAlignment="1" applyProtection="1">
      <alignment horizontal="center" shrinkToFit="1"/>
      <protection locked="0"/>
    </xf>
    <xf numFmtId="4" fontId="6" fillId="4" borderId="19" xfId="0" applyNumberFormat="1" applyFont="1" applyFill="1" applyBorder="1" applyAlignment="1" applyProtection="1">
      <alignment horizontal="centerContinuous"/>
      <protection hidden="1"/>
    </xf>
    <xf numFmtId="4" fontId="6" fillId="4" borderId="20" xfId="0" applyNumberFormat="1" applyFont="1" applyFill="1" applyBorder="1" applyAlignment="1" applyProtection="1">
      <alignment horizontal="centerContinuous"/>
      <protection hidden="1"/>
    </xf>
    <xf numFmtId="4" fontId="6" fillId="4" borderId="22" xfId="0" applyNumberFormat="1" applyFont="1" applyFill="1" applyBorder="1" applyAlignment="1" applyProtection="1">
      <alignment horizontal="centerContinuous"/>
      <protection hidden="1"/>
    </xf>
    <xf numFmtId="4" fontId="6" fillId="4" borderId="23" xfId="0" applyNumberFormat="1" applyFont="1" applyFill="1" applyBorder="1" applyAlignment="1" applyProtection="1">
      <alignment horizontal="centerContinuous"/>
      <protection hidden="1"/>
    </xf>
    <xf numFmtId="0" fontId="6" fillId="4" borderId="20" xfId="0" applyFont="1" applyFill="1" applyBorder="1" applyAlignment="1" applyProtection="1">
      <alignment horizontal="centerContinuous"/>
      <protection hidden="1"/>
    </xf>
    <xf numFmtId="0" fontId="6" fillId="4" borderId="23" xfId="0" applyFont="1" applyFill="1" applyBorder="1" applyAlignment="1" applyProtection="1">
      <alignment horizontal="centerContinuous"/>
      <protection hidden="1"/>
    </xf>
    <xf numFmtId="167" fontId="6" fillId="4" borderId="22" xfId="0" applyNumberFormat="1" applyFont="1" applyFill="1" applyBorder="1" applyAlignment="1" applyProtection="1">
      <alignment horizontal="centerContinuous"/>
      <protection hidden="1"/>
    </xf>
    <xf numFmtId="171" fontId="11" fillId="4" borderId="22" xfId="0" applyNumberFormat="1" applyFont="1" applyFill="1" applyBorder="1" applyAlignment="1" applyProtection="1">
      <alignment vertical="center" shrinkToFit="1"/>
      <protection locked="0"/>
    </xf>
    <xf numFmtId="171" fontId="11" fillId="4" borderId="24" xfId="0" applyNumberFormat="1" applyFont="1" applyFill="1" applyBorder="1" applyAlignment="1" applyProtection="1">
      <alignment vertical="center" shrinkToFit="1"/>
      <protection locked="0"/>
    </xf>
    <xf numFmtId="171" fontId="11" fillId="4" borderId="46" xfId="0" applyNumberFormat="1" applyFont="1" applyFill="1" applyBorder="1" applyAlignment="1" applyProtection="1">
      <alignment vertical="center" shrinkToFit="1"/>
      <protection locked="0"/>
    </xf>
    <xf numFmtId="171" fontId="11" fillId="4" borderId="47" xfId="0" applyNumberFormat="1" applyFont="1" applyFill="1" applyBorder="1" applyAlignment="1" applyProtection="1">
      <alignment vertical="center" shrinkToFit="1"/>
      <protection locked="0"/>
    </xf>
    <xf numFmtId="171" fontId="11" fillId="4" borderId="37" xfId="0" applyNumberFormat="1" applyFont="1" applyFill="1" applyBorder="1" applyAlignment="1" applyProtection="1">
      <alignment vertical="center" shrinkToFit="1"/>
      <protection locked="0"/>
    </xf>
    <xf numFmtId="171" fontId="11" fillId="4" borderId="28" xfId="0" applyNumberFormat="1" applyFont="1" applyFill="1" applyBorder="1" applyAlignment="1" applyProtection="1">
      <alignment vertical="center" shrinkToFit="1"/>
      <protection locked="0"/>
    </xf>
    <xf numFmtId="2" fontId="2" fillId="0" borderId="0" xfId="0" applyNumberFormat="1" applyFont="1" applyProtection="1">
      <protection hidden="1"/>
    </xf>
    <xf numFmtId="2" fontId="13" fillId="4" borderId="49" xfId="0" applyNumberFormat="1" applyFont="1" applyFill="1" applyBorder="1" applyAlignment="1" applyProtection="1">
      <alignment horizontal="center" shrinkToFit="1"/>
      <protection hidden="1"/>
    </xf>
    <xf numFmtId="2" fontId="13" fillId="4" borderId="63" xfId="0" applyNumberFormat="1" applyFont="1" applyFill="1" applyBorder="1" applyAlignment="1" applyProtection="1">
      <alignment horizontal="center" shrinkToFit="1"/>
      <protection hidden="1"/>
    </xf>
    <xf numFmtId="2" fontId="13" fillId="7" borderId="64" xfId="0" applyNumberFormat="1" applyFont="1" applyFill="1" applyBorder="1" applyAlignment="1" applyProtection="1">
      <alignment horizontal="center" shrinkToFit="1"/>
      <protection locked="0"/>
    </xf>
    <xf numFmtId="0" fontId="7" fillId="3" borderId="37" xfId="0" applyFont="1" applyFill="1" applyBorder="1" applyProtection="1">
      <protection hidden="1"/>
    </xf>
    <xf numFmtId="0" fontId="7" fillId="3" borderId="27" xfId="0" applyFont="1" applyFill="1" applyBorder="1" applyProtection="1">
      <protection hidden="1"/>
    </xf>
    <xf numFmtId="4" fontId="6" fillId="4" borderId="47" xfId="0" applyNumberFormat="1" applyFont="1" applyFill="1" applyBorder="1" applyAlignment="1" applyProtection="1">
      <alignment horizontal="centerContinuous"/>
      <protection hidden="1"/>
    </xf>
    <xf numFmtId="4" fontId="6" fillId="4" borderId="64" xfId="0" applyNumberFormat="1" applyFont="1" applyFill="1" applyBorder="1" applyAlignment="1" applyProtection="1">
      <alignment horizontal="centerContinuous"/>
      <protection hidden="1"/>
    </xf>
    <xf numFmtId="0" fontId="17" fillId="4" borderId="19" xfId="0" applyFont="1" applyFill="1" applyBorder="1" applyAlignment="1" applyProtection="1">
      <alignment vertical="center" shrinkToFit="1"/>
      <protection locked="0"/>
    </xf>
    <xf numFmtId="0" fontId="17" fillId="4" borderId="13" xfId="0" applyFont="1" applyFill="1" applyBorder="1" applyAlignment="1" applyProtection="1">
      <alignment vertical="center" shrinkToFit="1"/>
      <protection locked="0"/>
    </xf>
    <xf numFmtId="0" fontId="13" fillId="3" borderId="27" xfId="0" applyFont="1" applyFill="1" applyBorder="1" applyAlignment="1" applyProtection="1">
      <alignment horizontal="left" vertical="center" shrinkToFit="1"/>
      <protection hidden="1"/>
    </xf>
    <xf numFmtId="0" fontId="17" fillId="4" borderId="70" xfId="0" applyFont="1" applyFill="1" applyBorder="1" applyAlignment="1" applyProtection="1">
      <alignment vertical="center" shrinkToFit="1"/>
      <protection locked="0"/>
    </xf>
    <xf numFmtId="0" fontId="7" fillId="3" borderId="43" xfId="0" applyFont="1" applyFill="1" applyBorder="1" applyProtection="1">
      <protection hidden="1"/>
    </xf>
    <xf numFmtId="0" fontId="7" fillId="3" borderId="44" xfId="0" applyFont="1" applyFill="1" applyBorder="1" applyProtection="1">
      <protection hidden="1"/>
    </xf>
    <xf numFmtId="0" fontId="7" fillId="3" borderId="49" xfId="0" applyFont="1" applyFill="1" applyBorder="1" applyProtection="1">
      <protection hidden="1"/>
    </xf>
    <xf numFmtId="4" fontId="6" fillId="4" borderId="48" xfId="0" applyNumberFormat="1" applyFont="1" applyFill="1" applyBorder="1" applyAlignment="1" applyProtection="1">
      <alignment horizontal="centerContinuous"/>
      <protection hidden="1"/>
    </xf>
    <xf numFmtId="0" fontId="12" fillId="3" borderId="11" xfId="0" applyFont="1" applyFill="1" applyBorder="1" applyAlignment="1" applyProtection="1">
      <alignment vertical="center"/>
      <protection hidden="1"/>
    </xf>
    <xf numFmtId="0" fontId="12" fillId="3" borderId="10" xfId="0" applyFont="1" applyFill="1" applyBorder="1" applyAlignment="1" applyProtection="1">
      <alignment vertical="center"/>
      <protection hidden="1"/>
    </xf>
    <xf numFmtId="0" fontId="12" fillId="3" borderId="12" xfId="0" applyFont="1" applyFill="1" applyBorder="1" applyAlignment="1" applyProtection="1">
      <alignment vertical="center"/>
      <protection hidden="1"/>
    </xf>
    <xf numFmtId="0" fontId="12" fillId="3" borderId="11" xfId="0" applyFont="1" applyFill="1" applyBorder="1" applyAlignment="1" applyProtection="1">
      <alignment horizontal="left" vertical="center"/>
      <protection hidden="1"/>
    </xf>
    <xf numFmtId="0" fontId="12" fillId="3" borderId="10" xfId="0" applyFont="1" applyFill="1" applyBorder="1" applyAlignment="1" applyProtection="1">
      <alignment horizontal="left" vertical="center"/>
      <protection hidden="1"/>
    </xf>
    <xf numFmtId="0" fontId="12" fillId="3" borderId="12" xfId="0" applyFont="1" applyFill="1" applyBorder="1" applyAlignment="1" applyProtection="1">
      <alignment horizontal="left" vertical="center"/>
      <protection hidden="1"/>
    </xf>
    <xf numFmtId="171" fontId="11" fillId="4" borderId="30" xfId="0" applyNumberFormat="1" applyFont="1" applyFill="1" applyBorder="1" applyAlignment="1" applyProtection="1">
      <alignment vertical="center" shrinkToFit="1"/>
      <protection locked="0"/>
    </xf>
    <xf numFmtId="0" fontId="6" fillId="4" borderId="63" xfId="0" applyFont="1" applyFill="1" applyBorder="1" applyAlignment="1" applyProtection="1">
      <alignment horizontal="centerContinuous"/>
      <protection hidden="1"/>
    </xf>
    <xf numFmtId="0" fontId="7" fillId="3" borderId="24" xfId="0" applyFont="1" applyFill="1" applyBorder="1" applyAlignment="1" applyProtection="1">
      <alignment horizontal="left" vertical="center"/>
      <protection hidden="1"/>
    </xf>
    <xf numFmtId="2" fontId="6" fillId="0" borderId="71" xfId="0" applyNumberFormat="1" applyFont="1" applyBorder="1" applyAlignment="1" applyProtection="1">
      <alignment horizontal="center" shrinkToFit="1"/>
      <protection hidden="1"/>
    </xf>
    <xf numFmtId="3" fontId="6" fillId="4" borderId="48" xfId="0" applyNumberFormat="1" applyFont="1" applyFill="1" applyBorder="1" applyAlignment="1" applyProtection="1">
      <alignment horizontal="centerContinuous"/>
      <protection hidden="1"/>
    </xf>
    <xf numFmtId="0" fontId="7" fillId="3" borderId="7" xfId="0" applyFont="1" applyFill="1" applyBorder="1" applyProtection="1">
      <protection hidden="1"/>
    </xf>
    <xf numFmtId="0" fontId="7" fillId="3" borderId="8" xfId="0" applyFont="1" applyFill="1" applyBorder="1" applyProtection="1">
      <protection hidden="1"/>
    </xf>
    <xf numFmtId="0" fontId="7" fillId="3" borderId="72" xfId="0" applyFont="1" applyFill="1" applyBorder="1" applyProtection="1">
      <protection hidden="1"/>
    </xf>
    <xf numFmtId="4" fontId="6" fillId="4" borderId="73" xfId="0" applyNumberFormat="1" applyFont="1" applyFill="1" applyBorder="1" applyAlignment="1" applyProtection="1">
      <alignment horizontal="centerContinuous"/>
      <protection hidden="1"/>
    </xf>
    <xf numFmtId="4" fontId="6" fillId="4" borderId="9" xfId="0" applyNumberFormat="1" applyFont="1" applyFill="1" applyBorder="1" applyAlignment="1" applyProtection="1">
      <alignment horizontal="centerContinuous"/>
      <protection hidden="1"/>
    </xf>
    <xf numFmtId="2" fontId="6" fillId="0" borderId="34" xfId="3" applyNumberFormat="1" applyFont="1" applyBorder="1" applyAlignment="1">
      <alignment horizontal="center" vertical="center"/>
    </xf>
    <xf numFmtId="4" fontId="6" fillId="4" borderId="34" xfId="0" applyNumberFormat="1" applyFont="1" applyFill="1" applyBorder="1" applyAlignment="1" applyProtection="1">
      <alignment horizontal="center" vertical="center"/>
      <protection hidden="1"/>
    </xf>
    <xf numFmtId="4" fontId="6" fillId="4" borderId="1" xfId="0" applyNumberFormat="1" applyFont="1" applyFill="1" applyBorder="1" applyAlignment="1" applyProtection="1">
      <alignment horizontal="center" vertical="center"/>
      <protection hidden="1"/>
    </xf>
    <xf numFmtId="0" fontId="16" fillId="3" borderId="22" xfId="0" applyFont="1" applyFill="1" applyBorder="1" applyAlignment="1" applyProtection="1">
      <alignment horizontal="left"/>
      <protection hidden="1"/>
    </xf>
    <xf numFmtId="0" fontId="16" fillId="3" borderId="24" xfId="0" applyFont="1" applyFill="1" applyBorder="1" applyAlignment="1" applyProtection="1">
      <alignment horizontal="left"/>
      <protection hidden="1"/>
    </xf>
    <xf numFmtId="0" fontId="16" fillId="3" borderId="30" xfId="0" applyFont="1" applyFill="1" applyBorder="1" applyAlignment="1" applyProtection="1">
      <alignment horizontal="left"/>
      <protection hidden="1"/>
    </xf>
    <xf numFmtId="0" fontId="9" fillId="4" borderId="22" xfId="0" applyFont="1" applyFill="1" applyBorder="1" applyAlignment="1" applyProtection="1">
      <alignment horizontal="center" vertical="center"/>
      <protection hidden="1"/>
    </xf>
    <xf numFmtId="0" fontId="9" fillId="4" borderId="24" xfId="0" applyFont="1" applyFill="1" applyBorder="1" applyAlignment="1" applyProtection="1">
      <alignment horizontal="center" vertical="center"/>
      <protection hidden="1"/>
    </xf>
    <xf numFmtId="0" fontId="9" fillId="4" borderId="47" xfId="0" applyFont="1" applyFill="1" applyBorder="1" applyAlignment="1" applyProtection="1">
      <alignment horizontal="center"/>
      <protection hidden="1"/>
    </xf>
    <xf numFmtId="0" fontId="9" fillId="4" borderId="37" xfId="0" applyFont="1" applyFill="1" applyBorder="1" applyAlignment="1" applyProtection="1">
      <alignment horizontal="center"/>
      <protection hidden="1"/>
    </xf>
    <xf numFmtId="4" fontId="6" fillId="4" borderId="22" xfId="0" applyNumberFormat="1" applyFont="1" applyFill="1" applyBorder="1" applyAlignment="1" applyProtection="1">
      <alignment horizontal="center"/>
      <protection hidden="1"/>
    </xf>
    <xf numFmtId="4" fontId="6" fillId="4" borderId="30" xfId="0" applyNumberFormat="1" applyFont="1" applyFill="1" applyBorder="1" applyAlignment="1" applyProtection="1">
      <alignment horizontal="center"/>
      <protection hidden="1"/>
    </xf>
    <xf numFmtId="3" fontId="6" fillId="4" borderId="22" xfId="0" applyNumberFormat="1" applyFont="1" applyFill="1" applyBorder="1" applyAlignment="1" applyProtection="1">
      <alignment horizontal="center"/>
      <protection hidden="1"/>
    </xf>
    <xf numFmtId="3" fontId="6" fillId="4" borderId="23" xfId="0" applyNumberFormat="1" applyFont="1" applyFill="1" applyBorder="1" applyAlignment="1" applyProtection="1">
      <alignment horizontal="center"/>
      <protection hidden="1"/>
    </xf>
    <xf numFmtId="3" fontId="6" fillId="4" borderId="19" xfId="0" applyNumberFormat="1" applyFont="1" applyFill="1" applyBorder="1" applyAlignment="1" applyProtection="1">
      <alignment horizontal="center"/>
      <protection hidden="1"/>
    </xf>
    <xf numFmtId="3" fontId="6" fillId="4" borderId="20" xfId="0" applyNumberFormat="1" applyFont="1" applyFill="1" applyBorder="1" applyAlignment="1" applyProtection="1">
      <alignment horizontal="center"/>
      <protection hidden="1"/>
    </xf>
    <xf numFmtId="0" fontId="9" fillId="4" borderId="22" xfId="0" applyFont="1" applyFill="1" applyBorder="1" applyAlignment="1" applyProtection="1">
      <alignment horizontal="center"/>
      <protection hidden="1"/>
    </xf>
    <xf numFmtId="0" fontId="9" fillId="4" borderId="24" xfId="0" applyFont="1" applyFill="1" applyBorder="1" applyAlignment="1" applyProtection="1">
      <alignment horizontal="center"/>
      <protection hidden="1"/>
    </xf>
    <xf numFmtId="0" fontId="9" fillId="4" borderId="34" xfId="0" applyFont="1" applyFill="1" applyBorder="1" applyAlignment="1" applyProtection="1">
      <alignment horizontal="center"/>
      <protection hidden="1"/>
    </xf>
    <xf numFmtId="0" fontId="13" fillId="3" borderId="58" xfId="0" applyFont="1" applyFill="1" applyBorder="1" applyAlignment="1" applyProtection="1">
      <alignment horizontal="center" shrinkToFit="1"/>
      <protection hidden="1"/>
    </xf>
    <xf numFmtId="0" fontId="9" fillId="4" borderId="32" xfId="0" applyFont="1" applyFill="1" applyBorder="1" applyAlignment="1" applyProtection="1">
      <alignment horizontal="center" vertical="top"/>
      <protection hidden="1"/>
    </xf>
    <xf numFmtId="0" fontId="13" fillId="3" borderId="68" xfId="0" applyFont="1" applyFill="1" applyBorder="1" applyAlignment="1" applyProtection="1">
      <alignment horizontal="center" shrinkToFit="1"/>
      <protection hidden="1"/>
    </xf>
    <xf numFmtId="0" fontId="16" fillId="3" borderId="54" xfId="0" applyFont="1" applyFill="1" applyBorder="1" applyAlignment="1" applyProtection="1">
      <alignment horizontal="center" vertical="center"/>
      <protection hidden="1"/>
    </xf>
    <xf numFmtId="0" fontId="16" fillId="3" borderId="32" xfId="0" applyFont="1" applyFill="1" applyBorder="1" applyAlignment="1" applyProtection="1">
      <alignment horizontal="center" vertical="center"/>
      <protection hidden="1"/>
    </xf>
    <xf numFmtId="0" fontId="16" fillId="3" borderId="52" xfId="0" applyFont="1" applyFill="1" applyBorder="1" applyAlignment="1" applyProtection="1">
      <alignment horizontal="center" vertical="center"/>
      <protection hidden="1"/>
    </xf>
    <xf numFmtId="0" fontId="16" fillId="3" borderId="34" xfId="0" applyFont="1" applyFill="1" applyBorder="1" applyAlignment="1" applyProtection="1">
      <alignment horizontal="center" vertical="center"/>
      <protection hidden="1"/>
    </xf>
    <xf numFmtId="0" fontId="16" fillId="3" borderId="48" xfId="0" applyFont="1" applyFill="1" applyBorder="1" applyAlignment="1" applyProtection="1">
      <alignment horizontal="left"/>
      <protection hidden="1"/>
    </xf>
    <xf numFmtId="0" fontId="16" fillId="3" borderId="44" xfId="0" applyFont="1" applyFill="1" applyBorder="1" applyAlignment="1" applyProtection="1">
      <alignment horizontal="left"/>
      <protection hidden="1"/>
    </xf>
    <xf numFmtId="0" fontId="16" fillId="3" borderId="49" xfId="0" applyFont="1" applyFill="1" applyBorder="1" applyAlignment="1" applyProtection="1">
      <alignment horizontal="left"/>
      <protection hidden="1"/>
    </xf>
    <xf numFmtId="0" fontId="9" fillId="4" borderId="34" xfId="0" applyFont="1" applyFill="1" applyBorder="1" applyAlignment="1" applyProtection="1">
      <alignment horizontal="center" vertical="center"/>
      <protection hidden="1"/>
    </xf>
    <xf numFmtId="0" fontId="9" fillId="4" borderId="32" xfId="0" applyFont="1" applyFill="1" applyBorder="1" applyAlignment="1" applyProtection="1">
      <alignment horizontal="center" vertical="center"/>
      <protection hidden="1"/>
    </xf>
    <xf numFmtId="0" fontId="9" fillId="4" borderId="48" xfId="0" applyFont="1" applyFill="1" applyBorder="1" applyAlignment="1" applyProtection="1">
      <alignment horizontal="center" vertical="center"/>
      <protection hidden="1"/>
    </xf>
    <xf numFmtId="171" fontId="13" fillId="3" borderId="41" xfId="0" applyNumberFormat="1" applyFont="1" applyFill="1" applyBorder="1" applyAlignment="1" applyProtection="1">
      <alignment horizontal="center" vertical="center"/>
      <protection hidden="1"/>
    </xf>
    <xf numFmtId="171" fontId="13" fillId="3" borderId="53" xfId="0" applyNumberFormat="1" applyFont="1" applyFill="1" applyBorder="1" applyAlignment="1" applyProtection="1">
      <alignment horizontal="center" vertical="center"/>
      <protection hidden="1"/>
    </xf>
    <xf numFmtId="171" fontId="13" fillId="3" borderId="69" xfId="0" applyNumberFormat="1" applyFont="1" applyFill="1" applyBorder="1" applyAlignment="1" applyProtection="1">
      <alignment horizontal="center" vertical="center"/>
      <protection hidden="1"/>
    </xf>
    <xf numFmtId="171" fontId="13" fillId="3" borderId="0" xfId="0" applyNumberFormat="1" applyFont="1" applyFill="1" applyBorder="1" applyAlignment="1" applyProtection="1">
      <alignment horizontal="center" vertical="center"/>
      <protection hidden="1"/>
    </xf>
    <xf numFmtId="171" fontId="13" fillId="3" borderId="45" xfId="0" applyNumberFormat="1" applyFont="1" applyFill="1" applyBorder="1" applyAlignment="1" applyProtection="1">
      <alignment horizontal="center" vertical="center"/>
      <protection hidden="1"/>
    </xf>
    <xf numFmtId="171" fontId="13" fillId="3" borderId="8" xfId="0" applyNumberFormat="1" applyFont="1" applyFill="1" applyBorder="1" applyAlignment="1" applyProtection="1">
      <alignment horizontal="center" vertical="center"/>
      <protection hidden="1"/>
    </xf>
    <xf numFmtId="0" fontId="12" fillId="3" borderId="62" xfId="0" applyFont="1" applyFill="1" applyBorder="1" applyAlignment="1" applyProtection="1">
      <alignment horizontal="center" vertical="center"/>
      <protection hidden="1"/>
    </xf>
    <xf numFmtId="0" fontId="12" fillId="3" borderId="37" xfId="0" applyFont="1" applyFill="1" applyBorder="1" applyAlignment="1" applyProtection="1">
      <alignment horizontal="center" vertical="center"/>
      <protection hidden="1"/>
    </xf>
    <xf numFmtId="0" fontId="12" fillId="3" borderId="27" xfId="0" applyFont="1" applyFill="1" applyBorder="1" applyAlignment="1" applyProtection="1">
      <alignment horizontal="center" vertical="center"/>
      <protection hidden="1"/>
    </xf>
    <xf numFmtId="0" fontId="12" fillId="3" borderId="21" xfId="0" applyFont="1" applyFill="1" applyBorder="1" applyAlignment="1" applyProtection="1">
      <alignment horizontal="center" vertical="center"/>
      <protection hidden="1"/>
    </xf>
    <xf numFmtId="0" fontId="12" fillId="3" borderId="24" xfId="0" applyFont="1" applyFill="1" applyBorder="1" applyAlignment="1" applyProtection="1">
      <alignment horizontal="center" vertical="center"/>
      <protection hidden="1"/>
    </xf>
    <xf numFmtId="0" fontId="12" fillId="3" borderId="30" xfId="0" applyFont="1" applyFill="1" applyBorder="1" applyAlignment="1" applyProtection="1">
      <alignment horizontal="center" vertical="center"/>
      <protection hidden="1"/>
    </xf>
    <xf numFmtId="0" fontId="12" fillId="3" borderId="43" xfId="0" applyFont="1" applyFill="1" applyBorder="1" applyAlignment="1" applyProtection="1">
      <alignment horizontal="center" vertical="center"/>
      <protection hidden="1"/>
    </xf>
    <xf numFmtId="0" fontId="12" fillId="3" borderId="44" xfId="0" applyFont="1" applyFill="1" applyBorder="1" applyAlignment="1" applyProtection="1">
      <alignment horizontal="center" vertical="center"/>
      <protection hidden="1"/>
    </xf>
    <xf numFmtId="0" fontId="12" fillId="3" borderId="49" xfId="0" applyFont="1" applyFill="1" applyBorder="1" applyAlignment="1" applyProtection="1">
      <alignment horizontal="center" vertical="center"/>
      <protection hidden="1"/>
    </xf>
    <xf numFmtId="0" fontId="16" fillId="0" borderId="43" xfId="0" applyFont="1" applyBorder="1" applyAlignment="1" applyProtection="1">
      <alignment horizontal="center" vertical="center" shrinkToFit="1"/>
      <protection hidden="1"/>
    </xf>
    <xf numFmtId="0" fontId="16" fillId="0" borderId="49" xfId="0" applyFont="1" applyBorder="1" applyAlignment="1" applyProtection="1">
      <alignment horizontal="center" vertical="center" shrinkToFit="1"/>
      <protection hidden="1"/>
    </xf>
    <xf numFmtId="0" fontId="22" fillId="5" borderId="57" xfId="0" applyFont="1" applyFill="1" applyBorder="1" applyAlignment="1" applyProtection="1">
      <alignment horizontal="center" vertical="center" textRotation="90"/>
      <protection hidden="1"/>
    </xf>
    <xf numFmtId="0" fontId="22" fillId="5" borderId="52" xfId="0" applyFont="1" applyFill="1" applyBorder="1" applyAlignment="1" applyProtection="1">
      <alignment horizontal="center" vertical="center" textRotation="90"/>
      <protection hidden="1"/>
    </xf>
    <xf numFmtId="0" fontId="22" fillId="5" borderId="51" xfId="0" applyFont="1" applyFill="1" applyBorder="1" applyAlignment="1" applyProtection="1">
      <alignment horizontal="center" vertical="center" textRotation="90"/>
      <protection hidden="1"/>
    </xf>
    <xf numFmtId="0" fontId="13" fillId="3" borderId="65" xfId="0" applyFont="1" applyFill="1" applyBorder="1" applyAlignment="1" applyProtection="1">
      <alignment horizontal="center"/>
      <protection hidden="1"/>
    </xf>
    <xf numFmtId="0" fontId="13" fillId="3" borderId="58" xfId="0" applyFont="1" applyFill="1" applyBorder="1" applyAlignment="1" applyProtection="1">
      <alignment horizontal="center"/>
      <protection hidden="1"/>
    </xf>
    <xf numFmtId="0" fontId="16" fillId="3" borderId="50" xfId="0" applyFont="1" applyFill="1" applyBorder="1" applyAlignment="1" applyProtection="1">
      <alignment horizontal="center" vertical="center"/>
      <protection hidden="1"/>
    </xf>
    <xf numFmtId="0" fontId="16" fillId="3" borderId="14" xfId="0" applyFont="1" applyFill="1" applyBorder="1" applyAlignment="1" applyProtection="1">
      <alignment horizontal="center" vertical="center"/>
      <protection hidden="1"/>
    </xf>
    <xf numFmtId="0" fontId="16" fillId="3" borderId="67" xfId="0" applyFont="1" applyFill="1" applyBorder="1" applyAlignment="1" applyProtection="1">
      <alignment horizontal="center" vertical="center"/>
      <protection hidden="1"/>
    </xf>
    <xf numFmtId="0" fontId="16" fillId="3" borderId="18" xfId="0" applyFont="1" applyFill="1" applyBorder="1" applyAlignment="1" applyProtection="1">
      <alignment horizontal="center" vertical="center"/>
      <protection hidden="1"/>
    </xf>
    <xf numFmtId="0" fontId="16" fillId="3" borderId="13" xfId="0" applyFont="1" applyFill="1" applyBorder="1" applyAlignment="1" applyProtection="1">
      <alignment horizontal="center" vertical="center"/>
      <protection hidden="1"/>
    </xf>
    <xf numFmtId="0" fontId="16" fillId="3" borderId="25" xfId="0" applyFont="1" applyFill="1" applyBorder="1" applyAlignment="1" applyProtection="1">
      <alignment horizontal="center" vertical="center"/>
      <protection hidden="1"/>
    </xf>
    <xf numFmtId="2" fontId="13" fillId="4" borderId="22" xfId="0" applyNumberFormat="1" applyFont="1" applyFill="1" applyBorder="1" applyAlignment="1" applyProtection="1">
      <alignment horizontal="center" vertical="center"/>
      <protection hidden="1"/>
    </xf>
    <xf numFmtId="2" fontId="13" fillId="4" borderId="30" xfId="0" applyNumberFormat="1" applyFont="1" applyFill="1" applyBorder="1" applyAlignment="1" applyProtection="1">
      <alignment horizontal="center" vertical="center"/>
      <protection hidden="1"/>
    </xf>
    <xf numFmtId="0" fontId="13" fillId="3" borderId="22" xfId="0" applyFont="1" applyFill="1" applyBorder="1" applyAlignment="1" applyProtection="1">
      <alignment horizontal="center" vertical="center"/>
      <protection hidden="1"/>
    </xf>
    <xf numFmtId="0" fontId="13" fillId="3" borderId="30" xfId="0" applyFont="1" applyFill="1" applyBorder="1" applyAlignment="1" applyProtection="1">
      <alignment horizontal="center" vertical="center"/>
      <protection hidden="1"/>
    </xf>
    <xf numFmtId="0" fontId="21" fillId="5" borderId="0" xfId="0" applyFont="1" applyFill="1" applyBorder="1" applyAlignment="1" applyProtection="1">
      <alignment horizontal="left"/>
      <protection hidden="1"/>
    </xf>
    <xf numFmtId="2" fontId="12" fillId="4" borderId="22" xfId="0" applyNumberFormat="1" applyFont="1" applyFill="1" applyBorder="1" applyAlignment="1" applyProtection="1">
      <alignment horizontal="center" vertical="center"/>
      <protection hidden="1"/>
    </xf>
    <xf numFmtId="2" fontId="12" fillId="4" borderId="30" xfId="0" applyNumberFormat="1" applyFont="1" applyFill="1" applyBorder="1" applyAlignment="1" applyProtection="1">
      <alignment horizontal="center" vertical="center"/>
      <protection hidden="1"/>
    </xf>
    <xf numFmtId="0" fontId="13" fillId="3" borderId="62" xfId="0" applyFont="1" applyFill="1" applyBorder="1" applyAlignment="1" applyProtection="1">
      <alignment horizontal="left"/>
      <protection hidden="1"/>
    </xf>
    <xf numFmtId="0" fontId="13" fillId="3" borderId="37" xfId="0" applyFont="1" applyFill="1" applyBorder="1" applyAlignment="1" applyProtection="1">
      <alignment horizontal="left"/>
      <protection hidden="1"/>
    </xf>
    <xf numFmtId="0" fontId="13" fillId="3" borderId="27" xfId="0" applyFont="1" applyFill="1" applyBorder="1" applyAlignment="1" applyProtection="1">
      <alignment horizontal="left"/>
      <protection hidden="1"/>
    </xf>
    <xf numFmtId="0" fontId="6" fillId="0" borderId="15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0" fillId="5" borderId="16" xfId="0" applyFont="1" applyFill="1" applyBorder="1" applyAlignment="1" applyProtection="1">
      <alignment horizontal="center"/>
      <protection hidden="1"/>
    </xf>
    <xf numFmtId="0" fontId="20" fillId="5" borderId="29" xfId="0" applyFont="1" applyFill="1" applyBorder="1" applyAlignment="1" applyProtection="1">
      <alignment horizontal="center"/>
      <protection hidden="1"/>
    </xf>
    <xf numFmtId="0" fontId="20" fillId="5" borderId="17" xfId="0" applyFont="1" applyFill="1" applyBorder="1" applyAlignment="1" applyProtection="1">
      <alignment horizontal="center"/>
      <protection hidden="1"/>
    </xf>
    <xf numFmtId="0" fontId="9" fillId="4" borderId="27" xfId="0" applyFont="1" applyFill="1" applyBorder="1" applyAlignment="1" applyProtection="1">
      <alignment horizontal="center"/>
      <protection hidden="1"/>
    </xf>
    <xf numFmtId="0" fontId="12" fillId="3" borderId="22" xfId="0" applyFont="1" applyFill="1" applyBorder="1" applyAlignment="1" applyProtection="1">
      <alignment horizontal="center" vertical="center"/>
      <protection hidden="1"/>
    </xf>
    <xf numFmtId="0" fontId="9" fillId="0" borderId="55" xfId="0" applyFont="1" applyBorder="1" applyAlignment="1" applyProtection="1">
      <alignment horizontal="center"/>
      <protection hidden="1"/>
    </xf>
    <xf numFmtId="0" fontId="9" fillId="0" borderId="56" xfId="0" applyFont="1" applyBorder="1" applyAlignment="1" applyProtection="1">
      <alignment horizontal="center"/>
      <protection hidden="1"/>
    </xf>
    <xf numFmtId="4" fontId="26" fillId="4" borderId="11" xfId="0" applyNumberFormat="1" applyFont="1" applyFill="1" applyBorder="1" applyAlignment="1" applyProtection="1">
      <alignment horizontal="center" vertical="center"/>
      <protection hidden="1"/>
    </xf>
    <xf numFmtId="4" fontId="26" fillId="4" borderId="12" xfId="0" applyNumberFormat="1" applyFont="1" applyFill="1" applyBorder="1" applyAlignment="1" applyProtection="1">
      <alignment horizontal="center" vertical="center"/>
      <protection hidden="1"/>
    </xf>
    <xf numFmtId="0" fontId="23" fillId="5" borderId="59" xfId="0" applyFont="1" applyFill="1" applyBorder="1" applyAlignment="1" applyProtection="1">
      <alignment horizontal="center" vertical="center" shrinkToFit="1"/>
      <protection hidden="1"/>
    </xf>
    <xf numFmtId="10" fontId="13" fillId="0" borderId="0" xfId="0" applyNumberFormat="1" applyFont="1" applyBorder="1" applyAlignment="1" applyProtection="1">
      <alignment horizontal="center"/>
      <protection hidden="1"/>
    </xf>
    <xf numFmtId="0" fontId="16" fillId="0" borderId="3" xfId="0" applyFont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 applyProtection="1">
      <alignment horizontal="center" vertical="center" wrapText="1"/>
      <protection hidden="1"/>
    </xf>
    <xf numFmtId="0" fontId="16" fillId="0" borderId="6" xfId="0" applyFont="1" applyBorder="1" applyAlignment="1" applyProtection="1">
      <alignment horizontal="center" vertical="center" wrapText="1"/>
      <protection hidden="1"/>
    </xf>
    <xf numFmtId="10" fontId="13" fillId="0" borderId="6" xfId="0" applyNumberFormat="1" applyFont="1" applyBorder="1" applyAlignment="1" applyProtection="1">
      <alignment horizontal="center"/>
      <protection hidden="1"/>
    </xf>
    <xf numFmtId="0" fontId="13" fillId="0" borderId="0" xfId="0" applyFont="1" applyBorder="1" applyAlignment="1" applyProtection="1">
      <alignment horizontal="center"/>
      <protection hidden="1"/>
    </xf>
    <xf numFmtId="0" fontId="13" fillId="0" borderId="6" xfId="0" applyFont="1" applyBorder="1" applyAlignment="1" applyProtection="1">
      <alignment horizontal="center"/>
      <protection hidden="1"/>
    </xf>
    <xf numFmtId="4" fontId="25" fillId="4" borderId="11" xfId="0" applyNumberFormat="1" applyFont="1" applyFill="1" applyBorder="1" applyAlignment="1" applyProtection="1">
      <alignment horizontal="center" vertical="center"/>
      <protection hidden="1"/>
    </xf>
    <xf numFmtId="4" fontId="25" fillId="4" borderId="12" xfId="0" applyNumberFormat="1" applyFont="1" applyFill="1" applyBorder="1" applyAlignment="1" applyProtection="1">
      <alignment horizontal="center" vertical="center"/>
      <protection hidden="1"/>
    </xf>
    <xf numFmtId="0" fontId="9" fillId="4" borderId="22" xfId="0" applyFont="1" applyFill="1" applyBorder="1" applyAlignment="1" applyProtection="1">
      <alignment horizontal="center" vertical="top"/>
      <protection hidden="1"/>
    </xf>
    <xf numFmtId="0" fontId="9" fillId="4" borderId="30" xfId="0" applyFont="1" applyFill="1" applyBorder="1" applyAlignment="1" applyProtection="1">
      <alignment horizontal="center" vertical="top"/>
      <protection hidden="1"/>
    </xf>
    <xf numFmtId="0" fontId="9" fillId="4" borderId="30" xfId="0" applyFont="1" applyFill="1" applyBorder="1" applyAlignment="1" applyProtection="1">
      <alignment horizontal="center"/>
      <protection hidden="1"/>
    </xf>
    <xf numFmtId="0" fontId="13" fillId="3" borderId="52" xfId="0" applyFont="1" applyFill="1" applyBorder="1" applyAlignment="1" applyProtection="1">
      <alignment horizontal="left"/>
      <protection hidden="1"/>
    </xf>
    <xf numFmtId="0" fontId="13" fillId="3" borderId="34" xfId="0" applyFont="1" applyFill="1" applyBorder="1" applyAlignment="1" applyProtection="1">
      <alignment horizontal="left"/>
      <protection hidden="1"/>
    </xf>
    <xf numFmtId="0" fontId="13" fillId="3" borderId="21" xfId="0" applyFont="1" applyFill="1" applyBorder="1" applyAlignment="1" applyProtection="1">
      <alignment horizontal="left"/>
      <protection hidden="1"/>
    </xf>
    <xf numFmtId="0" fontId="13" fillId="3" borderId="24" xfId="0" applyFont="1" applyFill="1" applyBorder="1" applyAlignment="1" applyProtection="1">
      <alignment horizontal="left"/>
      <protection hidden="1"/>
    </xf>
    <xf numFmtId="0" fontId="13" fillId="3" borderId="30" xfId="0" applyFont="1" applyFill="1" applyBorder="1" applyAlignment="1" applyProtection="1">
      <alignment horizontal="left"/>
      <protection hidden="1"/>
    </xf>
    <xf numFmtId="0" fontId="9" fillId="4" borderId="30" xfId="0" applyFont="1" applyFill="1" applyBorder="1" applyAlignment="1" applyProtection="1">
      <alignment horizontal="center" vertical="center"/>
      <protection hidden="1"/>
    </xf>
    <xf numFmtId="2" fontId="13" fillId="7" borderId="44" xfId="0" applyNumberFormat="1" applyFont="1" applyFill="1" applyBorder="1" applyAlignment="1" applyProtection="1">
      <alignment horizontal="center"/>
      <protection locked="0"/>
    </xf>
    <xf numFmtId="2" fontId="13" fillId="7" borderId="49" xfId="0" applyNumberFormat="1" applyFont="1" applyFill="1" applyBorder="1" applyAlignment="1" applyProtection="1">
      <alignment horizontal="center"/>
      <protection locked="0"/>
    </xf>
    <xf numFmtId="0" fontId="13" fillId="0" borderId="53" xfId="0" applyFont="1" applyFill="1" applyBorder="1" applyAlignment="1" applyProtection="1">
      <alignment horizontal="center" vertical="center"/>
      <protection locked="0"/>
    </xf>
    <xf numFmtId="0" fontId="13" fillId="0" borderId="42" xfId="0" applyFont="1" applyFill="1" applyBorder="1" applyAlignment="1" applyProtection="1">
      <alignment horizontal="center" vertical="center"/>
      <protection locked="0"/>
    </xf>
    <xf numFmtId="0" fontId="13" fillId="0" borderId="8" xfId="0" applyFont="1" applyFill="1" applyBorder="1" applyAlignment="1" applyProtection="1">
      <alignment horizontal="center" vertical="center"/>
      <protection locked="0"/>
    </xf>
    <xf numFmtId="0" fontId="13" fillId="0" borderId="9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 applyProtection="1">
      <alignment horizontal="center" vertical="center"/>
      <protection hidden="1"/>
    </xf>
    <xf numFmtId="0" fontId="13" fillId="3" borderId="27" xfId="0" applyFont="1" applyFill="1" applyBorder="1" applyAlignment="1" applyProtection="1">
      <alignment horizontal="center" vertical="center"/>
      <protection hidden="1"/>
    </xf>
    <xf numFmtId="0" fontId="16" fillId="3" borderId="58" xfId="0" applyFont="1" applyFill="1" applyBorder="1" applyAlignment="1" applyProtection="1">
      <alignment horizontal="center" vertical="center" shrinkToFit="1"/>
      <protection hidden="1"/>
    </xf>
    <xf numFmtId="0" fontId="7" fillId="3" borderId="66" xfId="0" applyFont="1" applyFill="1" applyBorder="1" applyAlignment="1">
      <alignment horizontal="center" vertical="center" shrinkToFit="1"/>
    </xf>
    <xf numFmtId="0" fontId="10" fillId="4" borderId="26" xfId="0" applyFont="1" applyFill="1" applyBorder="1" applyAlignment="1" applyProtection="1">
      <alignment horizontal="center" vertical="center"/>
      <protection hidden="1"/>
    </xf>
    <xf numFmtId="0" fontId="10" fillId="4" borderId="42" xfId="0" applyFont="1" applyFill="1" applyBorder="1" applyAlignment="1" applyProtection="1">
      <alignment horizontal="center" vertical="center"/>
      <protection hidden="1"/>
    </xf>
    <xf numFmtId="0" fontId="10" fillId="4" borderId="7" xfId="0" applyFont="1" applyFill="1" applyBorder="1" applyAlignment="1" applyProtection="1">
      <alignment horizontal="center" vertical="center"/>
      <protection hidden="1"/>
    </xf>
    <xf numFmtId="0" fontId="10" fillId="4" borderId="9" xfId="0" applyFont="1" applyFill="1" applyBorder="1" applyAlignment="1" applyProtection="1">
      <alignment horizontal="center" vertical="center"/>
      <protection hidden="1"/>
    </xf>
    <xf numFmtId="169" fontId="7" fillId="0" borderId="3" xfId="0" applyNumberFormat="1" applyFont="1" applyBorder="1" applyAlignment="1" applyProtection="1">
      <alignment horizontal="center" vertical="center" shrinkToFit="1"/>
      <protection hidden="1"/>
    </xf>
    <xf numFmtId="169" fontId="7" fillId="0" borderId="0" xfId="0" applyNumberFormat="1" applyFont="1" applyBorder="1" applyAlignment="1" applyProtection="1">
      <alignment horizontal="center" vertical="center" shrinkToFit="1"/>
      <protection hidden="1"/>
    </xf>
    <xf numFmtId="0" fontId="7" fillId="0" borderId="3" xfId="0" applyFont="1" applyBorder="1" applyAlignment="1" applyProtection="1">
      <alignment horizontal="center" vertical="center" shrinkToFit="1"/>
      <protection hidden="1"/>
    </xf>
    <xf numFmtId="0" fontId="7" fillId="0" borderId="0" xfId="0" applyFont="1" applyBorder="1" applyAlignment="1" applyProtection="1">
      <alignment horizontal="center" vertical="center" shrinkToFit="1"/>
      <protection hidden="1"/>
    </xf>
    <xf numFmtId="0" fontId="7" fillId="0" borderId="30" xfId="0" applyFont="1" applyBorder="1" applyAlignment="1" applyProtection="1">
      <alignment horizontal="center"/>
      <protection hidden="1"/>
    </xf>
    <xf numFmtId="0" fontId="7" fillId="0" borderId="34" xfId="0" applyFont="1" applyBorder="1" applyAlignment="1" applyProtection="1">
      <alignment horizontal="center"/>
      <protection hidden="1"/>
    </xf>
    <xf numFmtId="0" fontId="7" fillId="0" borderId="22" xfId="0" applyFont="1" applyBorder="1" applyAlignment="1" applyProtection="1">
      <alignment horizontal="center"/>
      <protection hidden="1"/>
    </xf>
    <xf numFmtId="0" fontId="7" fillId="0" borderId="35" xfId="0" applyFont="1" applyBorder="1" applyAlignment="1" applyProtection="1">
      <alignment horizontal="center"/>
      <protection hidden="1"/>
    </xf>
    <xf numFmtId="0" fontId="7" fillId="0" borderId="36" xfId="0" applyFont="1" applyBorder="1" applyAlignment="1" applyProtection="1">
      <alignment horizontal="center"/>
      <protection hidden="1"/>
    </xf>
    <xf numFmtId="0" fontId="7" fillId="0" borderId="0" xfId="0" applyFont="1" applyBorder="1" applyAlignment="1" applyProtection="1">
      <alignment horizontal="right"/>
      <protection hidden="1"/>
    </xf>
  </cellXfs>
  <cellStyles count="4">
    <cellStyle name="Normal" xfId="0" builtinId="0"/>
    <cellStyle name="Normal 2" xfId="3" xr:uid="{00000000-0005-0000-0000-000001000000}"/>
    <cellStyle name="Œ…‹æØ‚è [0.00]_laroux" xfId="1" xr:uid="{00000000-0005-0000-0000-000002000000}"/>
    <cellStyle name="Œ…‹æØ‚è_laroux" xfId="2" xr:uid="{00000000-0005-0000-0000-000003000000}"/>
  </cellStyles>
  <dxfs count="24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41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8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solid">
          <bgColor indexed="15"/>
        </patternFill>
      </fill>
    </dxf>
    <dxf>
      <fill>
        <patternFill>
          <bgColor indexed="15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3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5604777135012262E-2"/>
          <c:y val="3.3931079862012013E-2"/>
          <c:w val="0.97284226460183543"/>
          <c:h val="0.84459738108827698"/>
        </c:manualLayout>
      </c:layout>
      <c:lineChart>
        <c:grouping val="standard"/>
        <c:varyColors val="0"/>
        <c:ser>
          <c:idx val="0"/>
          <c:order val="0"/>
          <c:tx>
            <c:strRef>
              <c:f>Formule!$T$36</c:f>
              <c:strCache>
                <c:ptCount val="1"/>
                <c:pt idx="0">
                  <c:v>Data Values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Formule!$T$90:$CT$90</c:f>
              <c:numCache>
                <c:formatCode>0.0000</c:formatCode>
                <c:ptCount val="79"/>
                <c:pt idx="0">
                  <c:v>3.7694552177875096E-2</c:v>
                </c:pt>
                <c:pt idx="1">
                  <c:v>2.961697927116802E-2</c:v>
                </c:pt>
                <c:pt idx="2">
                  <c:v>2.8710136178716539E-2</c:v>
                </c:pt>
                <c:pt idx="3">
                  <c:v>3.2516142465464526E-2</c:v>
                </c:pt>
                <c:pt idx="4">
                  <c:v>3.7694552177875096E-2</c:v>
                </c:pt>
                <c:pt idx="5">
                  <c:v>2.961697927116802E-2</c:v>
                </c:pt>
                <c:pt idx="6">
                  <c:v>2.8710136178716539E-2</c:v>
                </c:pt>
                <c:pt idx="7">
                  <c:v>3.2516142465464526E-2</c:v>
                </c:pt>
                <c:pt idx="8">
                  <c:v>3.7694552177875096E-2</c:v>
                </c:pt>
                <c:pt idx="9">
                  <c:v>2.961697927116802E-2</c:v>
                </c:pt>
                <c:pt idx="10">
                  <c:v>2.8710136178716539E-2</c:v>
                </c:pt>
                <c:pt idx="11">
                  <c:v>3.2516142465464526E-2</c:v>
                </c:pt>
                <c:pt idx="12">
                  <c:v>3.7694552177875096E-2</c:v>
                </c:pt>
                <c:pt idx="13">
                  <c:v>2.961697927116802E-2</c:v>
                </c:pt>
                <c:pt idx="14">
                  <c:v>2.8710136178716539E-2</c:v>
                </c:pt>
                <c:pt idx="15">
                  <c:v>3.2516142465464526E-2</c:v>
                </c:pt>
                <c:pt idx="16">
                  <c:v>3.7694552177875096E-2</c:v>
                </c:pt>
                <c:pt idx="17">
                  <c:v>2.961697927116802E-2</c:v>
                </c:pt>
                <c:pt idx="18">
                  <c:v>2.8710136178716539E-2</c:v>
                </c:pt>
                <c:pt idx="19">
                  <c:v>3.2516142465464526E-2</c:v>
                </c:pt>
                <c:pt idx="20">
                  <c:v>3.7694552177875096E-2</c:v>
                </c:pt>
                <c:pt idx="21">
                  <c:v>2.961697927116802E-2</c:v>
                </c:pt>
                <c:pt idx="22">
                  <c:v>2.8710136178716539E-2</c:v>
                </c:pt>
                <c:pt idx="23">
                  <c:v>3.2516142465464526E-2</c:v>
                </c:pt>
                <c:pt idx="24">
                  <c:v>3.7694552177875096E-2</c:v>
                </c:pt>
                <c:pt idx="25">
                  <c:v>2.961697927116802E-2</c:v>
                </c:pt>
                <c:pt idx="26">
                  <c:v>2.8710136178716539E-2</c:v>
                </c:pt>
                <c:pt idx="27">
                  <c:v>3.2516142465464526E-2</c:v>
                </c:pt>
                <c:pt idx="28">
                  <c:v>3.7694552177875096E-2</c:v>
                </c:pt>
                <c:pt idx="29">
                  <c:v>2.961697927116802E-2</c:v>
                </c:pt>
                <c:pt idx="30">
                  <c:v>2.8710136178716539E-2</c:v>
                </c:pt>
                <c:pt idx="31">
                  <c:v>3.2516142465464526E-2</c:v>
                </c:pt>
                <c:pt idx="32">
                  <c:v>3.7694552177875096E-2</c:v>
                </c:pt>
                <c:pt idx="33">
                  <c:v>2.961697927116802E-2</c:v>
                </c:pt>
                <c:pt idx="34">
                  <c:v>2.8710136178716539E-2</c:v>
                </c:pt>
                <c:pt idx="35">
                  <c:v>3.2516142465464526E-2</c:v>
                </c:pt>
                <c:pt idx="36">
                  <c:v>3.7694552177875096E-2</c:v>
                </c:pt>
                <c:pt idx="37">
                  <c:v>2.961697927116802E-2</c:v>
                </c:pt>
                <c:pt idx="38">
                  <c:v>2.8710136178716539E-2</c:v>
                </c:pt>
                <c:pt idx="39">
                  <c:v>3.2516142465464526E-2</c:v>
                </c:pt>
                <c:pt idx="40">
                  <c:v>3.7694552177875096E-2</c:v>
                </c:pt>
                <c:pt idx="41">
                  <c:v>2.961697927116802E-2</c:v>
                </c:pt>
                <c:pt idx="42">
                  <c:v>2.8710136178716539E-2</c:v>
                </c:pt>
                <c:pt idx="43">
                  <c:v>3.2516142465464526E-2</c:v>
                </c:pt>
                <c:pt idx="44">
                  <c:v>3.7694552177875096E-2</c:v>
                </c:pt>
                <c:pt idx="45">
                  <c:v>2.961697927116802E-2</c:v>
                </c:pt>
                <c:pt idx="46">
                  <c:v>2.8710136178716539E-2</c:v>
                </c:pt>
                <c:pt idx="47">
                  <c:v>3.2516142465464526E-2</c:v>
                </c:pt>
                <c:pt idx="48">
                  <c:v>3.7694552177875096E-2</c:v>
                </c:pt>
                <c:pt idx="49">
                  <c:v>2.961697927116802E-2</c:v>
                </c:pt>
                <c:pt idx="50">
                  <c:v>2.8710136178716539E-2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F1E-4557-BE94-DECA6344E8BA}"/>
            </c:ext>
          </c:extLst>
        </c:ser>
        <c:ser>
          <c:idx val="1"/>
          <c:order val="1"/>
          <c:tx>
            <c:strRef>
              <c:f>Formule!$S$43</c:f>
              <c:strCache>
                <c:ptCount val="1"/>
                <c:pt idx="0">
                  <c:v>UCLr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Formule!$T$43:$CT$43</c:f>
              <c:numCache>
                <c:formatCode>0.00</c:formatCode>
                <c:ptCount val="79"/>
                <c:pt idx="0">
                  <c:v>6.8022533552614922E-2</c:v>
                </c:pt>
                <c:pt idx="1">
                  <c:v>6.8022533552614922E-2</c:v>
                </c:pt>
                <c:pt idx="2">
                  <c:v>6.8022533552614922E-2</c:v>
                </c:pt>
                <c:pt idx="3">
                  <c:v>6.8022533552614922E-2</c:v>
                </c:pt>
                <c:pt idx="4">
                  <c:v>6.8022533552614922E-2</c:v>
                </c:pt>
                <c:pt idx="5">
                  <c:v>6.8022533552614922E-2</c:v>
                </c:pt>
                <c:pt idx="6">
                  <c:v>6.8022533552614922E-2</c:v>
                </c:pt>
                <c:pt idx="7">
                  <c:v>6.8022533552614922E-2</c:v>
                </c:pt>
                <c:pt idx="8">
                  <c:v>6.8022533552614922E-2</c:v>
                </c:pt>
                <c:pt idx="9">
                  <c:v>6.8022533552614922E-2</c:v>
                </c:pt>
                <c:pt idx="10">
                  <c:v>6.8022533552614922E-2</c:v>
                </c:pt>
                <c:pt idx="11">
                  <c:v>6.8022533552614922E-2</c:v>
                </c:pt>
                <c:pt idx="12">
                  <c:v>6.8022533552614922E-2</c:v>
                </c:pt>
                <c:pt idx="13">
                  <c:v>6.8022533552614922E-2</c:v>
                </c:pt>
                <c:pt idx="14">
                  <c:v>6.8022533552614922E-2</c:v>
                </c:pt>
                <c:pt idx="15">
                  <c:v>6.8022533552614922E-2</c:v>
                </c:pt>
                <c:pt idx="16">
                  <c:v>6.8022533552614922E-2</c:v>
                </c:pt>
                <c:pt idx="17">
                  <c:v>6.8022533552614922E-2</c:v>
                </c:pt>
                <c:pt idx="18">
                  <c:v>6.8022533552614922E-2</c:v>
                </c:pt>
                <c:pt idx="19">
                  <c:v>6.8022533552614922E-2</c:v>
                </c:pt>
                <c:pt idx="20">
                  <c:v>6.8022533552614922E-2</c:v>
                </c:pt>
                <c:pt idx="21">
                  <c:v>6.8022533552614922E-2</c:v>
                </c:pt>
                <c:pt idx="22">
                  <c:v>6.8022533552614922E-2</c:v>
                </c:pt>
                <c:pt idx="23">
                  <c:v>6.8022533552614922E-2</c:v>
                </c:pt>
                <c:pt idx="24">
                  <c:v>6.8022533552614922E-2</c:v>
                </c:pt>
                <c:pt idx="25">
                  <c:v>6.8022533552614922E-2</c:v>
                </c:pt>
                <c:pt idx="26">
                  <c:v>6.8022533552614922E-2</c:v>
                </c:pt>
                <c:pt idx="27">
                  <c:v>6.8022533552614922E-2</c:v>
                </c:pt>
                <c:pt idx="28">
                  <c:v>6.8022533552614922E-2</c:v>
                </c:pt>
                <c:pt idx="29">
                  <c:v>6.8022533552614922E-2</c:v>
                </c:pt>
                <c:pt idx="30">
                  <c:v>6.8022533552614922E-2</c:v>
                </c:pt>
                <c:pt idx="31">
                  <c:v>6.8022533552614922E-2</c:v>
                </c:pt>
                <c:pt idx="32">
                  <c:v>6.8022533552614922E-2</c:v>
                </c:pt>
                <c:pt idx="33">
                  <c:v>6.8022533552614922E-2</c:v>
                </c:pt>
                <c:pt idx="34">
                  <c:v>6.8022533552614922E-2</c:v>
                </c:pt>
                <c:pt idx="35">
                  <c:v>6.8022533552614922E-2</c:v>
                </c:pt>
                <c:pt idx="36">
                  <c:v>6.8022533552614922E-2</c:v>
                </c:pt>
                <c:pt idx="37">
                  <c:v>6.8022533552614922E-2</c:v>
                </c:pt>
                <c:pt idx="38">
                  <c:v>6.8022533552614922E-2</c:v>
                </c:pt>
                <c:pt idx="39">
                  <c:v>6.8022533552614922E-2</c:v>
                </c:pt>
                <c:pt idx="40">
                  <c:v>6.8022533552614922E-2</c:v>
                </c:pt>
                <c:pt idx="41">
                  <c:v>6.8022533552614922E-2</c:v>
                </c:pt>
                <c:pt idx="42">
                  <c:v>6.8022533552614922E-2</c:v>
                </c:pt>
                <c:pt idx="43">
                  <c:v>6.8022533552614922E-2</c:v>
                </c:pt>
                <c:pt idx="44">
                  <c:v>6.8022533552614922E-2</c:v>
                </c:pt>
                <c:pt idx="45">
                  <c:v>6.8022533552614922E-2</c:v>
                </c:pt>
                <c:pt idx="46">
                  <c:v>6.8022533552614922E-2</c:v>
                </c:pt>
                <c:pt idx="47">
                  <c:v>6.8022533552614922E-2</c:v>
                </c:pt>
                <c:pt idx="48">
                  <c:v>6.8022533552614922E-2</c:v>
                </c:pt>
                <c:pt idx="49">
                  <c:v>6.8022533552614922E-2</c:v>
                </c:pt>
                <c:pt idx="50">
                  <c:v>6.8022533552614922E-2</c:v>
                </c:pt>
                <c:pt idx="51">
                  <c:v>6.8022533552614922E-2</c:v>
                </c:pt>
                <c:pt idx="52">
                  <c:v>6.8022533552614922E-2</c:v>
                </c:pt>
                <c:pt idx="53">
                  <c:v>6.8022533552614922E-2</c:v>
                </c:pt>
                <c:pt idx="54">
                  <c:v>6.8022533552614922E-2</c:v>
                </c:pt>
                <c:pt idx="55">
                  <c:v>6.8022533552614922E-2</c:v>
                </c:pt>
                <c:pt idx="56">
                  <c:v>6.8022533552614922E-2</c:v>
                </c:pt>
                <c:pt idx="57">
                  <c:v>6.8022533552614922E-2</c:v>
                </c:pt>
                <c:pt idx="58">
                  <c:v>6.8022533552614922E-2</c:v>
                </c:pt>
                <c:pt idx="59">
                  <c:v>6.8022533552614922E-2</c:v>
                </c:pt>
                <c:pt idx="60">
                  <c:v>6.8022533552614922E-2</c:v>
                </c:pt>
                <c:pt idx="61">
                  <c:v>6.8022533552614922E-2</c:v>
                </c:pt>
                <c:pt idx="62">
                  <c:v>6.8022533552614922E-2</c:v>
                </c:pt>
                <c:pt idx="63">
                  <c:v>6.8022533552614922E-2</c:v>
                </c:pt>
                <c:pt idx="64">
                  <c:v>6.8022533552614922E-2</c:v>
                </c:pt>
                <c:pt idx="65">
                  <c:v>6.8022533552614922E-2</c:v>
                </c:pt>
                <c:pt idx="66">
                  <c:v>6.8022533552614922E-2</c:v>
                </c:pt>
                <c:pt idx="67">
                  <c:v>6.8022533552614922E-2</c:v>
                </c:pt>
                <c:pt idx="68">
                  <c:v>6.8022533552614922E-2</c:v>
                </c:pt>
                <c:pt idx="69">
                  <c:v>6.8022533552614922E-2</c:v>
                </c:pt>
                <c:pt idx="70">
                  <c:v>6.8022533552614922E-2</c:v>
                </c:pt>
                <c:pt idx="71">
                  <c:v>6.8022533552614922E-2</c:v>
                </c:pt>
                <c:pt idx="72">
                  <c:v>6.8022533552614922E-2</c:v>
                </c:pt>
                <c:pt idx="73">
                  <c:v>6.8022533552614922E-2</c:v>
                </c:pt>
                <c:pt idx="74">
                  <c:v>6.8022533552614922E-2</c:v>
                </c:pt>
                <c:pt idx="75">
                  <c:v>6.8022533552614922E-2</c:v>
                </c:pt>
                <c:pt idx="76">
                  <c:v>6.8022533552614922E-2</c:v>
                </c:pt>
                <c:pt idx="77">
                  <c:v>6.8022533552614922E-2</c:v>
                </c:pt>
                <c:pt idx="78">
                  <c:v>6.8022533552614922E-2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F1E-4557-BE94-DECA6344E8BA}"/>
            </c:ext>
          </c:extLst>
        </c:ser>
        <c:ser>
          <c:idx val="2"/>
          <c:order val="2"/>
          <c:tx>
            <c:strRef>
              <c:f>Formule!$S$44</c:f>
              <c:strCache>
                <c:ptCount val="1"/>
                <c:pt idx="0">
                  <c:v>AveR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Formule!$T$44:$CT$44</c:f>
              <c:numCache>
                <c:formatCode>0.00</c:formatCode>
                <c:ptCount val="79"/>
                <c:pt idx="0">
                  <c:v>3.2177168189505639E-2</c:v>
                </c:pt>
                <c:pt idx="1">
                  <c:v>3.2177168189505639E-2</c:v>
                </c:pt>
                <c:pt idx="2">
                  <c:v>3.2177168189505639E-2</c:v>
                </c:pt>
                <c:pt idx="3">
                  <c:v>3.2177168189505639E-2</c:v>
                </c:pt>
                <c:pt idx="4">
                  <c:v>3.2177168189505639E-2</c:v>
                </c:pt>
                <c:pt idx="5">
                  <c:v>3.2177168189505639E-2</c:v>
                </c:pt>
                <c:pt idx="6">
                  <c:v>3.2177168189505639E-2</c:v>
                </c:pt>
                <c:pt idx="7">
                  <c:v>3.2177168189505639E-2</c:v>
                </c:pt>
                <c:pt idx="8">
                  <c:v>3.2177168189505639E-2</c:v>
                </c:pt>
                <c:pt idx="9">
                  <c:v>3.2177168189505639E-2</c:v>
                </c:pt>
                <c:pt idx="10">
                  <c:v>3.2177168189505639E-2</c:v>
                </c:pt>
                <c:pt idx="11">
                  <c:v>3.2177168189505639E-2</c:v>
                </c:pt>
                <c:pt idx="12">
                  <c:v>3.2177168189505639E-2</c:v>
                </c:pt>
                <c:pt idx="13">
                  <c:v>3.2177168189505639E-2</c:v>
                </c:pt>
                <c:pt idx="14">
                  <c:v>3.2177168189505639E-2</c:v>
                </c:pt>
                <c:pt idx="15">
                  <c:v>3.2177168189505639E-2</c:v>
                </c:pt>
                <c:pt idx="16">
                  <c:v>3.2177168189505639E-2</c:v>
                </c:pt>
                <c:pt idx="17">
                  <c:v>3.2177168189505639E-2</c:v>
                </c:pt>
                <c:pt idx="18">
                  <c:v>3.2177168189505639E-2</c:v>
                </c:pt>
                <c:pt idx="19">
                  <c:v>3.2177168189505639E-2</c:v>
                </c:pt>
                <c:pt idx="20">
                  <c:v>3.2177168189505639E-2</c:v>
                </c:pt>
                <c:pt idx="21">
                  <c:v>3.2177168189505639E-2</c:v>
                </c:pt>
                <c:pt idx="22">
                  <c:v>3.2177168189505639E-2</c:v>
                </c:pt>
                <c:pt idx="23">
                  <c:v>3.2177168189505639E-2</c:v>
                </c:pt>
                <c:pt idx="24">
                  <c:v>3.2177168189505639E-2</c:v>
                </c:pt>
                <c:pt idx="25">
                  <c:v>3.2177168189505639E-2</c:v>
                </c:pt>
                <c:pt idx="26">
                  <c:v>3.2177168189505639E-2</c:v>
                </c:pt>
                <c:pt idx="27">
                  <c:v>3.2177168189505639E-2</c:v>
                </c:pt>
                <c:pt idx="28">
                  <c:v>3.2177168189505639E-2</c:v>
                </c:pt>
                <c:pt idx="29">
                  <c:v>3.2177168189505639E-2</c:v>
                </c:pt>
                <c:pt idx="30">
                  <c:v>3.2177168189505639E-2</c:v>
                </c:pt>
                <c:pt idx="31">
                  <c:v>3.2177168189505639E-2</c:v>
                </c:pt>
                <c:pt idx="32">
                  <c:v>3.2177168189505639E-2</c:v>
                </c:pt>
                <c:pt idx="33">
                  <c:v>3.2177168189505639E-2</c:v>
                </c:pt>
                <c:pt idx="34">
                  <c:v>3.2177168189505639E-2</c:v>
                </c:pt>
                <c:pt idx="35">
                  <c:v>3.2177168189505639E-2</c:v>
                </c:pt>
                <c:pt idx="36">
                  <c:v>3.2177168189505639E-2</c:v>
                </c:pt>
                <c:pt idx="37">
                  <c:v>3.2177168189505639E-2</c:v>
                </c:pt>
                <c:pt idx="38">
                  <c:v>3.2177168189505639E-2</c:v>
                </c:pt>
                <c:pt idx="39">
                  <c:v>3.2177168189505639E-2</c:v>
                </c:pt>
                <c:pt idx="40">
                  <c:v>3.2177168189505639E-2</c:v>
                </c:pt>
                <c:pt idx="41">
                  <c:v>3.2177168189505639E-2</c:v>
                </c:pt>
                <c:pt idx="42">
                  <c:v>3.2177168189505639E-2</c:v>
                </c:pt>
                <c:pt idx="43">
                  <c:v>3.2177168189505639E-2</c:v>
                </c:pt>
                <c:pt idx="44">
                  <c:v>3.2177168189505639E-2</c:v>
                </c:pt>
                <c:pt idx="45">
                  <c:v>3.2177168189505639E-2</c:v>
                </c:pt>
                <c:pt idx="46">
                  <c:v>3.2177168189505639E-2</c:v>
                </c:pt>
                <c:pt idx="47">
                  <c:v>3.2177168189505639E-2</c:v>
                </c:pt>
                <c:pt idx="48">
                  <c:v>3.2177168189505639E-2</c:v>
                </c:pt>
                <c:pt idx="49">
                  <c:v>3.2177168189505639E-2</c:v>
                </c:pt>
                <c:pt idx="50">
                  <c:v>3.2177168189505639E-2</c:v>
                </c:pt>
                <c:pt idx="51">
                  <c:v>3.2177168189505639E-2</c:v>
                </c:pt>
                <c:pt idx="52">
                  <c:v>3.2177168189505639E-2</c:v>
                </c:pt>
                <c:pt idx="53">
                  <c:v>3.2177168189505639E-2</c:v>
                </c:pt>
                <c:pt idx="54">
                  <c:v>3.2177168189505639E-2</c:v>
                </c:pt>
                <c:pt idx="55">
                  <c:v>3.2177168189505639E-2</c:v>
                </c:pt>
                <c:pt idx="56">
                  <c:v>3.2177168189505639E-2</c:v>
                </c:pt>
                <c:pt idx="57">
                  <c:v>3.2177168189505639E-2</c:v>
                </c:pt>
                <c:pt idx="58">
                  <c:v>3.2177168189505639E-2</c:v>
                </c:pt>
                <c:pt idx="59">
                  <c:v>3.2177168189505639E-2</c:v>
                </c:pt>
                <c:pt idx="60">
                  <c:v>3.2177168189505639E-2</c:v>
                </c:pt>
                <c:pt idx="61">
                  <c:v>3.2177168189505639E-2</c:v>
                </c:pt>
                <c:pt idx="62">
                  <c:v>3.2177168189505639E-2</c:v>
                </c:pt>
                <c:pt idx="63">
                  <c:v>3.2177168189505639E-2</c:v>
                </c:pt>
                <c:pt idx="64">
                  <c:v>3.2177168189505639E-2</c:v>
                </c:pt>
                <c:pt idx="65">
                  <c:v>3.2177168189505639E-2</c:v>
                </c:pt>
                <c:pt idx="66">
                  <c:v>3.2177168189505639E-2</c:v>
                </c:pt>
                <c:pt idx="67">
                  <c:v>3.2177168189505639E-2</c:v>
                </c:pt>
                <c:pt idx="68">
                  <c:v>3.2177168189505639E-2</c:v>
                </c:pt>
                <c:pt idx="69">
                  <c:v>3.2177168189505639E-2</c:v>
                </c:pt>
                <c:pt idx="70">
                  <c:v>3.2177168189505639E-2</c:v>
                </c:pt>
                <c:pt idx="71">
                  <c:v>3.2177168189505639E-2</c:v>
                </c:pt>
                <c:pt idx="72">
                  <c:v>3.2177168189505639E-2</c:v>
                </c:pt>
                <c:pt idx="73">
                  <c:v>3.2177168189505639E-2</c:v>
                </c:pt>
                <c:pt idx="74">
                  <c:v>3.2177168189505639E-2</c:v>
                </c:pt>
                <c:pt idx="75">
                  <c:v>3.2177168189505639E-2</c:v>
                </c:pt>
                <c:pt idx="76">
                  <c:v>3.2177168189505639E-2</c:v>
                </c:pt>
                <c:pt idx="77">
                  <c:v>3.2177168189505639E-2</c:v>
                </c:pt>
                <c:pt idx="78">
                  <c:v>3.2177168189505639E-2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F1E-4557-BE94-DECA6344E8BA}"/>
            </c:ext>
          </c:extLst>
        </c:ser>
        <c:ser>
          <c:idx val="3"/>
          <c:order val="3"/>
          <c:tx>
            <c:strRef>
              <c:f>Formule!$S$45</c:f>
              <c:strCache>
                <c:ptCount val="1"/>
                <c:pt idx="0">
                  <c:v>LCLr</c:v>
                </c:pt>
              </c:strCache>
            </c:strRef>
          </c:tx>
          <c:spPr>
            <a:ln w="19050">
              <a:solidFill>
                <a:srgbClr val="FF0000"/>
              </a:solidFill>
              <a:prstDash val="sysDash"/>
            </a:ln>
          </c:spPr>
          <c:marker>
            <c:symbol val="none"/>
          </c:marker>
          <c:val>
            <c:numRef>
              <c:f>Formule!$T$45:$CT$45</c:f>
              <c:numCache>
                <c:formatCode>General</c:formatCode>
                <c:ptCount val="7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F1E-4557-BE94-DECA6344E8BA}"/>
            </c:ext>
          </c:extLst>
        </c:ser>
        <c:ser>
          <c:idx val="4"/>
          <c:order val="4"/>
          <c:tx>
            <c:strRef>
              <c:f>Formule!$S$150</c:f>
              <c:strCache>
                <c:ptCount val="1"/>
                <c:pt idx="0">
                  <c:v>UCLRxtnd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Formule!$T$150:$CT$150</c:f>
              <c:numCache>
                <c:formatCode>General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F1E-4557-BE94-DECA6344E8BA}"/>
            </c:ext>
          </c:extLst>
        </c:ser>
        <c:ser>
          <c:idx val="5"/>
          <c:order val="5"/>
          <c:tx>
            <c:strRef>
              <c:f>Formule!$S$151</c:f>
              <c:strCache>
                <c:ptCount val="1"/>
                <c:pt idx="0">
                  <c:v>AveRxtnd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ysDash"/>
            </a:ln>
          </c:spPr>
          <c:marker>
            <c:symbol val="none"/>
          </c:marker>
          <c:val>
            <c:numRef>
              <c:f>Formule!$S$151:$CT$151</c:f>
              <c:numCache>
                <c:formatCode>General</c:formatCode>
                <c:ptCount val="80"/>
                <c:pt idx="0">
                  <c:v>0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F1E-4557-BE94-DECA6344E8BA}"/>
            </c:ext>
          </c:extLst>
        </c:ser>
        <c:ser>
          <c:idx val="6"/>
          <c:order val="6"/>
          <c:tx>
            <c:strRef>
              <c:f>Formule!$S$152</c:f>
              <c:strCache>
                <c:ptCount val="1"/>
                <c:pt idx="0">
                  <c:v>LCLRxtnd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Formule!$T$152:$CT$152</c:f>
              <c:numCache>
                <c:formatCode>General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F1E-4557-BE94-DECA6344E8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119040"/>
        <c:axId val="32129024"/>
      </c:lineChart>
      <c:catAx>
        <c:axId val="32119040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numFmt formatCode="#,##0" sourceLinked="0"/>
        <c:majorTickMark val="out"/>
        <c:minorTickMark val="none"/>
        <c:tickLblPos val="nextTo"/>
        <c:crossAx val="32129024"/>
        <c:crosses val="autoZero"/>
        <c:auto val="1"/>
        <c:lblAlgn val="ctr"/>
        <c:lblOffset val="1"/>
        <c:tickLblSkip val="1"/>
        <c:tickMarkSkip val="1"/>
        <c:noMultiLvlLbl val="0"/>
      </c:catAx>
      <c:valAx>
        <c:axId val="32129024"/>
        <c:scaling>
          <c:orientation val="minMax"/>
        </c:scaling>
        <c:delete val="0"/>
        <c:axPos val="l"/>
        <c:majorGridlines>
          <c:spPr>
            <a:ln w="3175">
              <a:noFill/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2119040"/>
        <c:crosses val="autoZero"/>
        <c:crossBetween val="midCat"/>
      </c:valAx>
      <c:spPr>
        <a:noFill/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1.6753690009281161E-2"/>
          <c:y val="3.8129208414738339E-2"/>
          <c:w val="0.97388113047767699"/>
          <c:h val="0.87273243804710021"/>
        </c:manualLayout>
      </c:layout>
      <c:lineChart>
        <c:grouping val="standard"/>
        <c:varyColors val="0"/>
        <c:ser>
          <c:idx val="1"/>
          <c:order val="0"/>
          <c:tx>
            <c:strRef>
              <c:f>Formule!$W$33</c:f>
              <c:strCache>
                <c:ptCount val="1"/>
                <c:pt idx="0">
                  <c:v>UCLx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Formule!$T$40:$CT$40</c:f>
              <c:numCache>
                <c:formatCode>0.00</c:formatCode>
                <c:ptCount val="79"/>
                <c:pt idx="0">
                  <c:v>17.247152839795543</c:v>
                </c:pt>
                <c:pt idx="1">
                  <c:v>17.247152839795543</c:v>
                </c:pt>
                <c:pt idx="2">
                  <c:v>17.247152839795543</c:v>
                </c:pt>
                <c:pt idx="3">
                  <c:v>17.247152839795543</c:v>
                </c:pt>
                <c:pt idx="4">
                  <c:v>17.247152839795543</c:v>
                </c:pt>
                <c:pt idx="5">
                  <c:v>17.247152839795543</c:v>
                </c:pt>
                <c:pt idx="6">
                  <c:v>17.247152839795543</c:v>
                </c:pt>
                <c:pt idx="7">
                  <c:v>17.247152839795543</c:v>
                </c:pt>
                <c:pt idx="8">
                  <c:v>17.247152839795543</c:v>
                </c:pt>
                <c:pt idx="9">
                  <c:v>17.247152839795543</c:v>
                </c:pt>
                <c:pt idx="10">
                  <c:v>17.247152839795543</c:v>
                </c:pt>
                <c:pt idx="11">
                  <c:v>17.247152839795543</c:v>
                </c:pt>
                <c:pt idx="12">
                  <c:v>17.247152839795543</c:v>
                </c:pt>
                <c:pt idx="13">
                  <c:v>17.247152839795543</c:v>
                </c:pt>
                <c:pt idx="14">
                  <c:v>17.247152839795543</c:v>
                </c:pt>
                <c:pt idx="15">
                  <c:v>17.247152839795543</c:v>
                </c:pt>
                <c:pt idx="16">
                  <c:v>17.247152839795543</c:v>
                </c:pt>
                <c:pt idx="17">
                  <c:v>17.247152839795543</c:v>
                </c:pt>
                <c:pt idx="18">
                  <c:v>17.247152839795543</c:v>
                </c:pt>
                <c:pt idx="19">
                  <c:v>17.247152839795543</c:v>
                </c:pt>
                <c:pt idx="20">
                  <c:v>17.247152839795543</c:v>
                </c:pt>
                <c:pt idx="21">
                  <c:v>17.247152839795543</c:v>
                </c:pt>
                <c:pt idx="22">
                  <c:v>17.247152839795543</c:v>
                </c:pt>
                <c:pt idx="23">
                  <c:v>17.247152839795543</c:v>
                </c:pt>
                <c:pt idx="24">
                  <c:v>17.247152839795543</c:v>
                </c:pt>
                <c:pt idx="25">
                  <c:v>17.247152839795543</c:v>
                </c:pt>
                <c:pt idx="26">
                  <c:v>17.247152839795543</c:v>
                </c:pt>
                <c:pt idx="27">
                  <c:v>17.247152839795543</c:v>
                </c:pt>
                <c:pt idx="28">
                  <c:v>17.247152839795543</c:v>
                </c:pt>
                <c:pt idx="29">
                  <c:v>17.247152839795543</c:v>
                </c:pt>
                <c:pt idx="30">
                  <c:v>17.247152839795543</c:v>
                </c:pt>
                <c:pt idx="31">
                  <c:v>17.247152839795543</c:v>
                </c:pt>
                <c:pt idx="32">
                  <c:v>17.247152839795543</c:v>
                </c:pt>
                <c:pt idx="33">
                  <c:v>17.247152839795543</c:v>
                </c:pt>
                <c:pt idx="34">
                  <c:v>17.247152839795543</c:v>
                </c:pt>
                <c:pt idx="35">
                  <c:v>17.247152839795543</c:v>
                </c:pt>
                <c:pt idx="36">
                  <c:v>17.247152839795543</c:v>
                </c:pt>
                <c:pt idx="37">
                  <c:v>17.247152839795543</c:v>
                </c:pt>
                <c:pt idx="38">
                  <c:v>17.247152839795543</c:v>
                </c:pt>
                <c:pt idx="39">
                  <c:v>17.247152839795543</c:v>
                </c:pt>
                <c:pt idx="40">
                  <c:v>17.247152839795543</c:v>
                </c:pt>
                <c:pt idx="41">
                  <c:v>17.247152839795543</c:v>
                </c:pt>
                <c:pt idx="42">
                  <c:v>17.247152839795543</c:v>
                </c:pt>
                <c:pt idx="43">
                  <c:v>17.247152839795543</c:v>
                </c:pt>
                <c:pt idx="44">
                  <c:v>17.247152839795543</c:v>
                </c:pt>
                <c:pt idx="45">
                  <c:v>17.247152839795543</c:v>
                </c:pt>
                <c:pt idx="46">
                  <c:v>17.247152839795543</c:v>
                </c:pt>
                <c:pt idx="47">
                  <c:v>17.247152839795543</c:v>
                </c:pt>
                <c:pt idx="48">
                  <c:v>17.247152839795543</c:v>
                </c:pt>
                <c:pt idx="49">
                  <c:v>17.247152839795543</c:v>
                </c:pt>
                <c:pt idx="50">
                  <c:v>17.247152839795543</c:v>
                </c:pt>
                <c:pt idx="51">
                  <c:v>17.247152839795543</c:v>
                </c:pt>
                <c:pt idx="52">
                  <c:v>17.247152839795543</c:v>
                </c:pt>
                <c:pt idx="53">
                  <c:v>17.247152839795543</c:v>
                </c:pt>
                <c:pt idx="54">
                  <c:v>17.247152839795543</c:v>
                </c:pt>
                <c:pt idx="55">
                  <c:v>17.247152839795543</c:v>
                </c:pt>
                <c:pt idx="56">
                  <c:v>17.247152839795543</c:v>
                </c:pt>
                <c:pt idx="57">
                  <c:v>17.247152839795543</c:v>
                </c:pt>
                <c:pt idx="58">
                  <c:v>17.247152839795543</c:v>
                </c:pt>
                <c:pt idx="59">
                  <c:v>17.247152839795543</c:v>
                </c:pt>
                <c:pt idx="60">
                  <c:v>17.247152839795543</c:v>
                </c:pt>
                <c:pt idx="61">
                  <c:v>17.247152839795543</c:v>
                </c:pt>
                <c:pt idx="62">
                  <c:v>17.247152839795543</c:v>
                </c:pt>
                <c:pt idx="63">
                  <c:v>17.247152839795543</c:v>
                </c:pt>
                <c:pt idx="64">
                  <c:v>17.247152839795543</c:v>
                </c:pt>
                <c:pt idx="65">
                  <c:v>17.247152839795543</c:v>
                </c:pt>
                <c:pt idx="66">
                  <c:v>17.247152839795543</c:v>
                </c:pt>
                <c:pt idx="67">
                  <c:v>17.247152839795543</c:v>
                </c:pt>
                <c:pt idx="68">
                  <c:v>17.247152839795543</c:v>
                </c:pt>
                <c:pt idx="69">
                  <c:v>17.247152839795543</c:v>
                </c:pt>
                <c:pt idx="70">
                  <c:v>17.247152839795543</c:v>
                </c:pt>
                <c:pt idx="71">
                  <c:v>17.247152839795543</c:v>
                </c:pt>
                <c:pt idx="72">
                  <c:v>17.247152839795543</c:v>
                </c:pt>
                <c:pt idx="73">
                  <c:v>17.247152839795543</c:v>
                </c:pt>
                <c:pt idx="74">
                  <c:v>17.247152839795543</c:v>
                </c:pt>
                <c:pt idx="75">
                  <c:v>17.247152839795543</c:v>
                </c:pt>
                <c:pt idx="76">
                  <c:v>17.247152839795543</c:v>
                </c:pt>
                <c:pt idx="77">
                  <c:v>17.247152839795543</c:v>
                </c:pt>
                <c:pt idx="78">
                  <c:v>17.247152839795543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B55-4850-B29C-5AB48CC93DDF}"/>
            </c:ext>
          </c:extLst>
        </c:ser>
        <c:ser>
          <c:idx val="2"/>
          <c:order val="1"/>
          <c:tx>
            <c:strRef>
              <c:f>Formule!$S$41</c:f>
              <c:strCache>
                <c:ptCount val="1"/>
                <c:pt idx="0">
                  <c:v>AveX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none"/>
          </c:marker>
          <c:val>
            <c:numRef>
              <c:f>Formule!$T$41:$CT$41</c:f>
              <c:numCache>
                <c:formatCode>0.00</c:formatCode>
                <c:ptCount val="79"/>
                <c:pt idx="0">
                  <c:v>17.228586613750199</c:v>
                </c:pt>
                <c:pt idx="1">
                  <c:v>17.228586613750199</c:v>
                </c:pt>
                <c:pt idx="2">
                  <c:v>17.228586613750199</c:v>
                </c:pt>
                <c:pt idx="3">
                  <c:v>17.228586613750199</c:v>
                </c:pt>
                <c:pt idx="4">
                  <c:v>17.228586613750199</c:v>
                </c:pt>
                <c:pt idx="5">
                  <c:v>17.228586613750199</c:v>
                </c:pt>
                <c:pt idx="6">
                  <c:v>17.228586613750199</c:v>
                </c:pt>
                <c:pt idx="7">
                  <c:v>17.228586613750199</c:v>
                </c:pt>
                <c:pt idx="8">
                  <c:v>17.228586613750199</c:v>
                </c:pt>
                <c:pt idx="9">
                  <c:v>17.228586613750199</c:v>
                </c:pt>
                <c:pt idx="10">
                  <c:v>17.228586613750199</c:v>
                </c:pt>
                <c:pt idx="11">
                  <c:v>17.228586613750199</c:v>
                </c:pt>
                <c:pt idx="12">
                  <c:v>17.228586613750199</c:v>
                </c:pt>
                <c:pt idx="13">
                  <c:v>17.228586613750199</c:v>
                </c:pt>
                <c:pt idx="14">
                  <c:v>17.228586613750199</c:v>
                </c:pt>
                <c:pt idx="15">
                  <c:v>17.228586613750199</c:v>
                </c:pt>
                <c:pt idx="16">
                  <c:v>17.228586613750199</c:v>
                </c:pt>
                <c:pt idx="17">
                  <c:v>17.228586613750199</c:v>
                </c:pt>
                <c:pt idx="18">
                  <c:v>17.228586613750199</c:v>
                </c:pt>
                <c:pt idx="19">
                  <c:v>17.228586613750199</c:v>
                </c:pt>
                <c:pt idx="20">
                  <c:v>17.228586613750199</c:v>
                </c:pt>
                <c:pt idx="21">
                  <c:v>17.228586613750199</c:v>
                </c:pt>
                <c:pt idx="22">
                  <c:v>17.228586613750199</c:v>
                </c:pt>
                <c:pt idx="23">
                  <c:v>17.228586613750199</c:v>
                </c:pt>
                <c:pt idx="24">
                  <c:v>17.228586613750199</c:v>
                </c:pt>
                <c:pt idx="25">
                  <c:v>17.228586613750199</c:v>
                </c:pt>
                <c:pt idx="26">
                  <c:v>17.228586613750199</c:v>
                </c:pt>
                <c:pt idx="27">
                  <c:v>17.228586613750199</c:v>
                </c:pt>
                <c:pt idx="28">
                  <c:v>17.228586613750199</c:v>
                </c:pt>
                <c:pt idx="29">
                  <c:v>17.228586613750199</c:v>
                </c:pt>
                <c:pt idx="30">
                  <c:v>17.228586613750199</c:v>
                </c:pt>
                <c:pt idx="31">
                  <c:v>17.228586613750199</c:v>
                </c:pt>
                <c:pt idx="32">
                  <c:v>17.228586613750199</c:v>
                </c:pt>
                <c:pt idx="33">
                  <c:v>17.228586613750199</c:v>
                </c:pt>
                <c:pt idx="34">
                  <c:v>17.228586613750199</c:v>
                </c:pt>
                <c:pt idx="35">
                  <c:v>17.228586613750199</c:v>
                </c:pt>
                <c:pt idx="36">
                  <c:v>17.228586613750199</c:v>
                </c:pt>
                <c:pt idx="37">
                  <c:v>17.228586613750199</c:v>
                </c:pt>
                <c:pt idx="38">
                  <c:v>17.228586613750199</c:v>
                </c:pt>
                <c:pt idx="39">
                  <c:v>17.228586613750199</c:v>
                </c:pt>
                <c:pt idx="40">
                  <c:v>17.228586613750199</c:v>
                </c:pt>
                <c:pt idx="41">
                  <c:v>17.228586613750199</c:v>
                </c:pt>
                <c:pt idx="42">
                  <c:v>17.228586613750199</c:v>
                </c:pt>
                <c:pt idx="43">
                  <c:v>17.228586613750199</c:v>
                </c:pt>
                <c:pt idx="44">
                  <c:v>17.228586613750199</c:v>
                </c:pt>
                <c:pt idx="45">
                  <c:v>17.228586613750199</c:v>
                </c:pt>
                <c:pt idx="46">
                  <c:v>17.228586613750199</c:v>
                </c:pt>
                <c:pt idx="47">
                  <c:v>17.228586613750199</c:v>
                </c:pt>
                <c:pt idx="48">
                  <c:v>17.228586613750199</c:v>
                </c:pt>
                <c:pt idx="49">
                  <c:v>17.228586613750199</c:v>
                </c:pt>
                <c:pt idx="50">
                  <c:v>17.228586613750199</c:v>
                </c:pt>
                <c:pt idx="51">
                  <c:v>17.228586613750199</c:v>
                </c:pt>
                <c:pt idx="52">
                  <c:v>17.228586613750199</c:v>
                </c:pt>
                <c:pt idx="53">
                  <c:v>17.228586613750199</c:v>
                </c:pt>
                <c:pt idx="54">
                  <c:v>17.228586613750199</c:v>
                </c:pt>
                <c:pt idx="55">
                  <c:v>17.228586613750199</c:v>
                </c:pt>
                <c:pt idx="56">
                  <c:v>17.228586613750199</c:v>
                </c:pt>
                <c:pt idx="57">
                  <c:v>17.228586613750199</c:v>
                </c:pt>
                <c:pt idx="58">
                  <c:v>17.228586613750199</c:v>
                </c:pt>
                <c:pt idx="59">
                  <c:v>17.228586613750199</c:v>
                </c:pt>
                <c:pt idx="60">
                  <c:v>17.228586613750199</c:v>
                </c:pt>
                <c:pt idx="61">
                  <c:v>17.228586613750199</c:v>
                </c:pt>
                <c:pt idx="62">
                  <c:v>17.228586613750199</c:v>
                </c:pt>
                <c:pt idx="63">
                  <c:v>17.228586613750199</c:v>
                </c:pt>
                <c:pt idx="64">
                  <c:v>17.228586613750199</c:v>
                </c:pt>
                <c:pt idx="65">
                  <c:v>17.228586613750199</c:v>
                </c:pt>
                <c:pt idx="66">
                  <c:v>17.228586613750199</c:v>
                </c:pt>
                <c:pt idx="67">
                  <c:v>17.228586613750199</c:v>
                </c:pt>
                <c:pt idx="68">
                  <c:v>17.228586613750199</c:v>
                </c:pt>
                <c:pt idx="69">
                  <c:v>17.228586613750199</c:v>
                </c:pt>
                <c:pt idx="70">
                  <c:v>17.228586613750199</c:v>
                </c:pt>
                <c:pt idx="71">
                  <c:v>17.228586613750199</c:v>
                </c:pt>
                <c:pt idx="72">
                  <c:v>17.228586613750199</c:v>
                </c:pt>
                <c:pt idx="73">
                  <c:v>17.228586613750199</c:v>
                </c:pt>
                <c:pt idx="74">
                  <c:v>17.228586613750199</c:v>
                </c:pt>
                <c:pt idx="75">
                  <c:v>17.228586613750199</c:v>
                </c:pt>
                <c:pt idx="76">
                  <c:v>17.228586613750199</c:v>
                </c:pt>
                <c:pt idx="77">
                  <c:v>17.228586613750199</c:v>
                </c:pt>
                <c:pt idx="78">
                  <c:v>17.228586613750199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B55-4850-B29C-5AB48CC93DDF}"/>
            </c:ext>
          </c:extLst>
        </c:ser>
        <c:ser>
          <c:idx val="3"/>
          <c:order val="2"/>
          <c:tx>
            <c:strRef>
              <c:f>Formule!$S$42</c:f>
              <c:strCache>
                <c:ptCount val="1"/>
                <c:pt idx="0">
                  <c:v>LCLx</c:v>
                </c:pt>
              </c:strCache>
            </c:strRef>
          </c:tx>
          <c:spPr>
            <a:ln w="19050">
              <a:solidFill>
                <a:srgbClr val="FF0000"/>
              </a:solidFill>
              <a:prstDash val="dash"/>
            </a:ln>
          </c:spPr>
          <c:marker>
            <c:symbol val="none"/>
          </c:marker>
          <c:val>
            <c:numRef>
              <c:f>Formule!$T$42:$CT$42</c:f>
              <c:numCache>
                <c:formatCode>0.00</c:formatCode>
                <c:ptCount val="79"/>
                <c:pt idx="0">
                  <c:v>17.210020387704855</c:v>
                </c:pt>
                <c:pt idx="1">
                  <c:v>17.210020387704855</c:v>
                </c:pt>
                <c:pt idx="2">
                  <c:v>17.210020387704855</c:v>
                </c:pt>
                <c:pt idx="3">
                  <c:v>17.210020387704855</c:v>
                </c:pt>
                <c:pt idx="4">
                  <c:v>17.210020387704855</c:v>
                </c:pt>
                <c:pt idx="5">
                  <c:v>17.210020387704855</c:v>
                </c:pt>
                <c:pt idx="6">
                  <c:v>17.210020387704855</c:v>
                </c:pt>
                <c:pt idx="7">
                  <c:v>17.210020387704855</c:v>
                </c:pt>
                <c:pt idx="8">
                  <c:v>17.210020387704855</c:v>
                </c:pt>
                <c:pt idx="9">
                  <c:v>17.210020387704855</c:v>
                </c:pt>
                <c:pt idx="10">
                  <c:v>17.210020387704855</c:v>
                </c:pt>
                <c:pt idx="11">
                  <c:v>17.210020387704855</c:v>
                </c:pt>
                <c:pt idx="12">
                  <c:v>17.210020387704855</c:v>
                </c:pt>
                <c:pt idx="13">
                  <c:v>17.210020387704855</c:v>
                </c:pt>
                <c:pt idx="14">
                  <c:v>17.210020387704855</c:v>
                </c:pt>
                <c:pt idx="15">
                  <c:v>17.210020387704855</c:v>
                </c:pt>
                <c:pt idx="16">
                  <c:v>17.210020387704855</c:v>
                </c:pt>
                <c:pt idx="17">
                  <c:v>17.210020387704855</c:v>
                </c:pt>
                <c:pt idx="18">
                  <c:v>17.210020387704855</c:v>
                </c:pt>
                <c:pt idx="19">
                  <c:v>17.210020387704855</c:v>
                </c:pt>
                <c:pt idx="20">
                  <c:v>17.210020387704855</c:v>
                </c:pt>
                <c:pt idx="21">
                  <c:v>17.210020387704855</c:v>
                </c:pt>
                <c:pt idx="22">
                  <c:v>17.210020387704855</c:v>
                </c:pt>
                <c:pt idx="23">
                  <c:v>17.210020387704855</c:v>
                </c:pt>
                <c:pt idx="24">
                  <c:v>17.210020387704855</c:v>
                </c:pt>
                <c:pt idx="25">
                  <c:v>17.210020387704855</c:v>
                </c:pt>
                <c:pt idx="26">
                  <c:v>17.210020387704855</c:v>
                </c:pt>
                <c:pt idx="27">
                  <c:v>17.210020387704855</c:v>
                </c:pt>
                <c:pt idx="28">
                  <c:v>17.210020387704855</c:v>
                </c:pt>
                <c:pt idx="29">
                  <c:v>17.210020387704855</c:v>
                </c:pt>
                <c:pt idx="30">
                  <c:v>17.210020387704855</c:v>
                </c:pt>
                <c:pt idx="31">
                  <c:v>17.210020387704855</c:v>
                </c:pt>
                <c:pt idx="32">
                  <c:v>17.210020387704855</c:v>
                </c:pt>
                <c:pt idx="33">
                  <c:v>17.210020387704855</c:v>
                </c:pt>
                <c:pt idx="34">
                  <c:v>17.210020387704855</c:v>
                </c:pt>
                <c:pt idx="35">
                  <c:v>17.210020387704855</c:v>
                </c:pt>
                <c:pt idx="36">
                  <c:v>17.210020387704855</c:v>
                </c:pt>
                <c:pt idx="37">
                  <c:v>17.210020387704855</c:v>
                </c:pt>
                <c:pt idx="38">
                  <c:v>17.210020387704855</c:v>
                </c:pt>
                <c:pt idx="39">
                  <c:v>17.210020387704855</c:v>
                </c:pt>
                <c:pt idx="40">
                  <c:v>17.210020387704855</c:v>
                </c:pt>
                <c:pt idx="41">
                  <c:v>17.210020387704855</c:v>
                </c:pt>
                <c:pt idx="42">
                  <c:v>17.210020387704855</c:v>
                </c:pt>
                <c:pt idx="43">
                  <c:v>17.210020387704855</c:v>
                </c:pt>
                <c:pt idx="44">
                  <c:v>17.210020387704855</c:v>
                </c:pt>
                <c:pt idx="45">
                  <c:v>17.210020387704855</c:v>
                </c:pt>
                <c:pt idx="46">
                  <c:v>17.210020387704855</c:v>
                </c:pt>
                <c:pt idx="47">
                  <c:v>17.210020387704855</c:v>
                </c:pt>
                <c:pt idx="48">
                  <c:v>17.210020387704855</c:v>
                </c:pt>
                <c:pt idx="49">
                  <c:v>17.210020387704855</c:v>
                </c:pt>
                <c:pt idx="50">
                  <c:v>17.210020387704855</c:v>
                </c:pt>
                <c:pt idx="51">
                  <c:v>17.210020387704855</c:v>
                </c:pt>
                <c:pt idx="52">
                  <c:v>17.210020387704855</c:v>
                </c:pt>
                <c:pt idx="53">
                  <c:v>17.210020387704855</c:v>
                </c:pt>
                <c:pt idx="54">
                  <c:v>17.210020387704855</c:v>
                </c:pt>
                <c:pt idx="55">
                  <c:v>17.210020387704855</c:v>
                </c:pt>
                <c:pt idx="56">
                  <c:v>17.210020387704855</c:v>
                </c:pt>
                <c:pt idx="57">
                  <c:v>17.210020387704855</c:v>
                </c:pt>
                <c:pt idx="58">
                  <c:v>17.210020387704855</c:v>
                </c:pt>
                <c:pt idx="59">
                  <c:v>17.210020387704855</c:v>
                </c:pt>
                <c:pt idx="60">
                  <c:v>17.210020387704855</c:v>
                </c:pt>
                <c:pt idx="61">
                  <c:v>17.210020387704855</c:v>
                </c:pt>
                <c:pt idx="62">
                  <c:v>17.210020387704855</c:v>
                </c:pt>
                <c:pt idx="63">
                  <c:v>17.210020387704855</c:v>
                </c:pt>
                <c:pt idx="64">
                  <c:v>17.210020387704855</c:v>
                </c:pt>
                <c:pt idx="65">
                  <c:v>17.210020387704855</c:v>
                </c:pt>
                <c:pt idx="66">
                  <c:v>17.210020387704855</c:v>
                </c:pt>
                <c:pt idx="67">
                  <c:v>17.210020387704855</c:v>
                </c:pt>
                <c:pt idx="68">
                  <c:v>17.210020387704855</c:v>
                </c:pt>
                <c:pt idx="69">
                  <c:v>17.210020387704855</c:v>
                </c:pt>
                <c:pt idx="70">
                  <c:v>17.210020387704855</c:v>
                </c:pt>
                <c:pt idx="71">
                  <c:v>17.210020387704855</c:v>
                </c:pt>
                <c:pt idx="72">
                  <c:v>17.210020387704855</c:v>
                </c:pt>
                <c:pt idx="73">
                  <c:v>17.210020387704855</c:v>
                </c:pt>
                <c:pt idx="74">
                  <c:v>17.210020387704855</c:v>
                </c:pt>
                <c:pt idx="75">
                  <c:v>17.210020387704855</c:v>
                </c:pt>
                <c:pt idx="76">
                  <c:v>17.210020387704855</c:v>
                </c:pt>
                <c:pt idx="77">
                  <c:v>17.210020387704855</c:v>
                </c:pt>
                <c:pt idx="78">
                  <c:v>17.210020387704855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B55-4850-B29C-5AB48CC93DDF}"/>
            </c:ext>
          </c:extLst>
        </c:ser>
        <c:ser>
          <c:idx val="4"/>
          <c:order val="3"/>
          <c:tx>
            <c:strRef>
              <c:f>Formule!$S$147</c:f>
              <c:strCache>
                <c:ptCount val="1"/>
                <c:pt idx="0">
                  <c:v>UCLXxtnd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Formule!$T$147:$CT$147</c:f>
              <c:numCache>
                <c:formatCode>General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B55-4850-B29C-5AB48CC93DDF}"/>
            </c:ext>
          </c:extLst>
        </c:ser>
        <c:ser>
          <c:idx val="5"/>
          <c:order val="4"/>
          <c:tx>
            <c:strRef>
              <c:f>Formule!$S$148</c:f>
              <c:strCache>
                <c:ptCount val="1"/>
                <c:pt idx="0">
                  <c:v>AveXxtnd</c:v>
                </c:pt>
              </c:strCache>
            </c:strRef>
          </c:tx>
          <c:spPr>
            <a:ln w="38100">
              <a:solidFill>
                <a:srgbClr val="3366FF"/>
              </a:solidFill>
              <a:prstDash val="sysDash"/>
            </a:ln>
          </c:spPr>
          <c:marker>
            <c:symbol val="none"/>
          </c:marker>
          <c:val>
            <c:numRef>
              <c:f>Formule!$T$148:$CT$148</c:f>
              <c:numCache>
                <c:formatCode>General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B55-4850-B29C-5AB48CC93DDF}"/>
            </c:ext>
          </c:extLst>
        </c:ser>
        <c:ser>
          <c:idx val="6"/>
          <c:order val="5"/>
          <c:tx>
            <c:strRef>
              <c:f>Formule!$S$149</c:f>
              <c:strCache>
                <c:ptCount val="1"/>
                <c:pt idx="0">
                  <c:v>LCLXxtnd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ysDash"/>
            </a:ln>
          </c:spPr>
          <c:marker>
            <c:symbol val="none"/>
          </c:marker>
          <c:val>
            <c:numRef>
              <c:f>Formule!$T$149:$CT$149</c:f>
              <c:numCache>
                <c:formatCode>General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B55-4850-B29C-5AB48CC93DDF}"/>
            </c:ext>
          </c:extLst>
        </c:ser>
        <c:ser>
          <c:idx val="0"/>
          <c:order val="6"/>
          <c:tx>
            <c:strRef>
              <c:f>Formule!$S$86</c:f>
              <c:strCache>
                <c:ptCount val="1"/>
                <c:pt idx="0">
                  <c:v>Data Xxbar&amp;r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Formule!$T$86:$CT$86</c:f>
              <c:numCache>
                <c:formatCode>0.000</c:formatCode>
                <c:ptCount val="79"/>
                <c:pt idx="0">
                  <c:v>17.223772299417032</c:v>
                </c:pt>
                <c:pt idx="1">
                  <c:v>17.232445480875615</c:v>
                </c:pt>
                <c:pt idx="2">
                  <c:v>17.222663910821439</c:v>
                </c:pt>
                <c:pt idx="3">
                  <c:v>17.236359515325198</c:v>
                </c:pt>
                <c:pt idx="4">
                  <c:v>17.223772299417032</c:v>
                </c:pt>
                <c:pt idx="5">
                  <c:v>17.232445480875615</c:v>
                </c:pt>
                <c:pt idx="6">
                  <c:v>17.222663910821439</c:v>
                </c:pt>
                <c:pt idx="7">
                  <c:v>17.236359515325198</c:v>
                </c:pt>
                <c:pt idx="8">
                  <c:v>17.223772299417032</c:v>
                </c:pt>
                <c:pt idx="9">
                  <c:v>17.232445480875615</c:v>
                </c:pt>
                <c:pt idx="10">
                  <c:v>17.222663910821439</c:v>
                </c:pt>
                <c:pt idx="11">
                  <c:v>17.236359515325198</c:v>
                </c:pt>
                <c:pt idx="12">
                  <c:v>17.223772299417032</c:v>
                </c:pt>
                <c:pt idx="13">
                  <c:v>17.232445480875615</c:v>
                </c:pt>
                <c:pt idx="14">
                  <c:v>17.222663910821439</c:v>
                </c:pt>
                <c:pt idx="15">
                  <c:v>17.236359515325198</c:v>
                </c:pt>
                <c:pt idx="16">
                  <c:v>17.223772299417032</c:v>
                </c:pt>
                <c:pt idx="17">
                  <c:v>17.232445480875615</c:v>
                </c:pt>
                <c:pt idx="18">
                  <c:v>17.222663910821439</c:v>
                </c:pt>
                <c:pt idx="19">
                  <c:v>17.236359515325198</c:v>
                </c:pt>
                <c:pt idx="20">
                  <c:v>17.223772299417032</c:v>
                </c:pt>
                <c:pt idx="21">
                  <c:v>17.232445480875615</c:v>
                </c:pt>
                <c:pt idx="22">
                  <c:v>17.222663910821439</c:v>
                </c:pt>
                <c:pt idx="23">
                  <c:v>17.236359515325198</c:v>
                </c:pt>
                <c:pt idx="24">
                  <c:v>17.223772299417032</c:v>
                </c:pt>
                <c:pt idx="25">
                  <c:v>17.232445480875615</c:v>
                </c:pt>
                <c:pt idx="26">
                  <c:v>17.222663910821439</c:v>
                </c:pt>
                <c:pt idx="27">
                  <c:v>17.236359515325198</c:v>
                </c:pt>
                <c:pt idx="28">
                  <c:v>17.223772299417032</c:v>
                </c:pt>
                <c:pt idx="29">
                  <c:v>17.232445480875615</c:v>
                </c:pt>
                <c:pt idx="30">
                  <c:v>17.222663910821439</c:v>
                </c:pt>
                <c:pt idx="31">
                  <c:v>17.236359515325198</c:v>
                </c:pt>
                <c:pt idx="32">
                  <c:v>17.223772299417032</c:v>
                </c:pt>
                <c:pt idx="33">
                  <c:v>17.232445480875615</c:v>
                </c:pt>
                <c:pt idx="34">
                  <c:v>17.222663910821439</c:v>
                </c:pt>
                <c:pt idx="35">
                  <c:v>17.236359515325198</c:v>
                </c:pt>
                <c:pt idx="36">
                  <c:v>17.223772299417032</c:v>
                </c:pt>
                <c:pt idx="37">
                  <c:v>17.232445480875615</c:v>
                </c:pt>
                <c:pt idx="38">
                  <c:v>17.222663910821439</c:v>
                </c:pt>
                <c:pt idx="39">
                  <c:v>17.236359515325198</c:v>
                </c:pt>
                <c:pt idx="40">
                  <c:v>17.223772299417032</c:v>
                </c:pt>
                <c:pt idx="41">
                  <c:v>17.232445480875615</c:v>
                </c:pt>
                <c:pt idx="42">
                  <c:v>17.222663910821439</c:v>
                </c:pt>
                <c:pt idx="43">
                  <c:v>17.236359515325198</c:v>
                </c:pt>
                <c:pt idx="44">
                  <c:v>17.223772299417032</c:v>
                </c:pt>
                <c:pt idx="45">
                  <c:v>17.232445480875615</c:v>
                </c:pt>
                <c:pt idx="46">
                  <c:v>17.222663910821439</c:v>
                </c:pt>
                <c:pt idx="47">
                  <c:v>17.236359515325198</c:v>
                </c:pt>
                <c:pt idx="48">
                  <c:v>17.223772299417032</c:v>
                </c:pt>
                <c:pt idx="49">
                  <c:v>17.232445480875615</c:v>
                </c:pt>
                <c:pt idx="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9B55-4850-B29C-5AB48CC93DDF}"/>
            </c:ext>
          </c:extLst>
        </c:ser>
        <c:ser>
          <c:idx val="7"/>
          <c:order val="7"/>
          <c:tx>
            <c:strRef>
              <c:f>Formule!$S$87</c:f>
              <c:strCache>
                <c:ptCount val="1"/>
                <c:pt idx="0">
                  <c:v>Data Xindiv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Formule!$T$87:$CT$87</c:f>
              <c:numCache>
                <c:formatCode>0.000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9B55-4850-B29C-5AB48CC93DDF}"/>
            </c:ext>
          </c:extLst>
        </c:ser>
        <c:ser>
          <c:idx val="8"/>
          <c:order val="8"/>
          <c:tx>
            <c:strRef>
              <c:f>Formule!$S$89</c:f>
              <c:strCache>
                <c:ptCount val="1"/>
                <c:pt idx="0">
                  <c:v>Data Xmedian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Formule!$T$89:$CT$89</c:f>
              <c:numCache>
                <c:formatCode>0.000</c:formatCode>
                <c:ptCount val="79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#N/A</c:v>
                </c:pt>
                <c:pt idx="40">
                  <c:v>#N/A</c:v>
                </c:pt>
                <c:pt idx="41">
                  <c:v>#N/A</c:v>
                </c:pt>
                <c:pt idx="42">
                  <c:v>#N/A</c:v>
                </c:pt>
                <c:pt idx="43">
                  <c:v>#N/A</c:v>
                </c:pt>
                <c:pt idx="44">
                  <c:v>#N/A</c:v>
                </c:pt>
                <c:pt idx="45">
                  <c:v>#N/A</c:v>
                </c:pt>
                <c:pt idx="46">
                  <c:v>#N/A</c:v>
                </c:pt>
                <c:pt idx="47">
                  <c:v>#N/A</c:v>
                </c:pt>
                <c:pt idx="48">
                  <c:v>#N/A</c:v>
                </c:pt>
                <c:pt idx="49">
                  <c:v>#N/A</c:v>
                </c:pt>
                <c:pt idx="50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9B55-4850-B29C-5AB48CC93DDF}"/>
            </c:ext>
          </c:extLst>
        </c:ser>
        <c:ser>
          <c:idx val="9"/>
          <c:order val="9"/>
          <c:tx>
            <c:strRef>
              <c:f>Formule!$S$37</c:f>
              <c:strCache>
                <c:ptCount val="1"/>
                <c:pt idx="0">
                  <c:v>USL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Formule!$T$37:$CT$37</c:f>
              <c:numCache>
                <c:formatCode>0.00</c:formatCode>
                <c:ptCount val="79"/>
                <c:pt idx="0">
                  <c:v>17.400000000000002</c:v>
                </c:pt>
                <c:pt idx="1">
                  <c:v>17.400000000000002</c:v>
                </c:pt>
                <c:pt idx="2">
                  <c:v>17.400000000000002</c:v>
                </c:pt>
                <c:pt idx="3">
                  <c:v>17.400000000000002</c:v>
                </c:pt>
                <c:pt idx="4">
                  <c:v>17.400000000000002</c:v>
                </c:pt>
                <c:pt idx="5">
                  <c:v>17.400000000000002</c:v>
                </c:pt>
                <c:pt idx="6">
                  <c:v>17.400000000000002</c:v>
                </c:pt>
                <c:pt idx="7">
                  <c:v>17.400000000000002</c:v>
                </c:pt>
                <c:pt idx="8">
                  <c:v>17.400000000000002</c:v>
                </c:pt>
                <c:pt idx="9">
                  <c:v>17.400000000000002</c:v>
                </c:pt>
                <c:pt idx="10">
                  <c:v>17.400000000000002</c:v>
                </c:pt>
                <c:pt idx="11">
                  <c:v>17.400000000000002</c:v>
                </c:pt>
                <c:pt idx="12">
                  <c:v>17.400000000000002</c:v>
                </c:pt>
                <c:pt idx="13">
                  <c:v>17.400000000000002</c:v>
                </c:pt>
                <c:pt idx="14">
                  <c:v>17.400000000000002</c:v>
                </c:pt>
                <c:pt idx="15">
                  <c:v>17.400000000000002</c:v>
                </c:pt>
                <c:pt idx="16">
                  <c:v>17.400000000000002</c:v>
                </c:pt>
                <c:pt idx="17">
                  <c:v>17.400000000000002</c:v>
                </c:pt>
                <c:pt idx="18">
                  <c:v>17.400000000000002</c:v>
                </c:pt>
                <c:pt idx="19">
                  <c:v>17.400000000000002</c:v>
                </c:pt>
                <c:pt idx="20">
                  <c:v>17.400000000000002</c:v>
                </c:pt>
                <c:pt idx="21">
                  <c:v>17.400000000000002</c:v>
                </c:pt>
                <c:pt idx="22">
                  <c:v>17.400000000000002</c:v>
                </c:pt>
                <c:pt idx="23">
                  <c:v>17.400000000000002</c:v>
                </c:pt>
                <c:pt idx="24">
                  <c:v>17.400000000000002</c:v>
                </c:pt>
                <c:pt idx="25">
                  <c:v>17.400000000000002</c:v>
                </c:pt>
                <c:pt idx="26">
                  <c:v>17.400000000000002</c:v>
                </c:pt>
                <c:pt idx="27">
                  <c:v>17.400000000000002</c:v>
                </c:pt>
                <c:pt idx="28">
                  <c:v>17.400000000000002</c:v>
                </c:pt>
                <c:pt idx="29">
                  <c:v>17.400000000000002</c:v>
                </c:pt>
                <c:pt idx="30">
                  <c:v>17.400000000000002</c:v>
                </c:pt>
                <c:pt idx="31">
                  <c:v>17.400000000000002</c:v>
                </c:pt>
                <c:pt idx="32">
                  <c:v>17.400000000000002</c:v>
                </c:pt>
                <c:pt idx="33">
                  <c:v>17.400000000000002</c:v>
                </c:pt>
                <c:pt idx="34">
                  <c:v>17.400000000000002</c:v>
                </c:pt>
                <c:pt idx="35">
                  <c:v>17.400000000000002</c:v>
                </c:pt>
                <c:pt idx="36">
                  <c:v>17.400000000000002</c:v>
                </c:pt>
                <c:pt idx="37">
                  <c:v>17.400000000000002</c:v>
                </c:pt>
                <c:pt idx="38">
                  <c:v>17.400000000000002</c:v>
                </c:pt>
                <c:pt idx="39">
                  <c:v>17.400000000000002</c:v>
                </c:pt>
                <c:pt idx="40">
                  <c:v>17.400000000000002</c:v>
                </c:pt>
                <c:pt idx="41">
                  <c:v>17.400000000000002</c:v>
                </c:pt>
                <c:pt idx="42">
                  <c:v>17.400000000000002</c:v>
                </c:pt>
                <c:pt idx="43">
                  <c:v>17.400000000000002</c:v>
                </c:pt>
                <c:pt idx="44">
                  <c:v>17.400000000000002</c:v>
                </c:pt>
                <c:pt idx="45">
                  <c:v>17.400000000000002</c:v>
                </c:pt>
                <c:pt idx="46">
                  <c:v>17.400000000000002</c:v>
                </c:pt>
                <c:pt idx="47">
                  <c:v>17.400000000000002</c:v>
                </c:pt>
                <c:pt idx="48">
                  <c:v>17.400000000000002</c:v>
                </c:pt>
                <c:pt idx="49">
                  <c:v>17.400000000000002</c:v>
                </c:pt>
                <c:pt idx="50">
                  <c:v>17.400000000000002</c:v>
                </c:pt>
                <c:pt idx="51">
                  <c:v>17.400000000000002</c:v>
                </c:pt>
                <c:pt idx="52">
                  <c:v>17.400000000000002</c:v>
                </c:pt>
                <c:pt idx="53">
                  <c:v>17.400000000000002</c:v>
                </c:pt>
                <c:pt idx="54">
                  <c:v>17.400000000000002</c:v>
                </c:pt>
                <c:pt idx="55">
                  <c:v>17.400000000000002</c:v>
                </c:pt>
                <c:pt idx="56">
                  <c:v>17.400000000000002</c:v>
                </c:pt>
                <c:pt idx="57">
                  <c:v>17.400000000000002</c:v>
                </c:pt>
                <c:pt idx="58">
                  <c:v>17.400000000000002</c:v>
                </c:pt>
                <c:pt idx="59">
                  <c:v>17.400000000000002</c:v>
                </c:pt>
                <c:pt idx="60">
                  <c:v>17.400000000000002</c:v>
                </c:pt>
                <c:pt idx="61">
                  <c:v>17.400000000000002</c:v>
                </c:pt>
                <c:pt idx="62">
                  <c:v>17.400000000000002</c:v>
                </c:pt>
                <c:pt idx="63">
                  <c:v>17.400000000000002</c:v>
                </c:pt>
                <c:pt idx="64">
                  <c:v>17.400000000000002</c:v>
                </c:pt>
                <c:pt idx="65">
                  <c:v>17.400000000000002</c:v>
                </c:pt>
                <c:pt idx="66">
                  <c:v>17.400000000000002</c:v>
                </c:pt>
                <c:pt idx="67">
                  <c:v>17.400000000000002</c:v>
                </c:pt>
                <c:pt idx="68">
                  <c:v>17.400000000000002</c:v>
                </c:pt>
                <c:pt idx="69">
                  <c:v>17.400000000000002</c:v>
                </c:pt>
                <c:pt idx="70">
                  <c:v>17.400000000000002</c:v>
                </c:pt>
                <c:pt idx="71">
                  <c:v>17.400000000000002</c:v>
                </c:pt>
                <c:pt idx="72">
                  <c:v>17.400000000000002</c:v>
                </c:pt>
                <c:pt idx="73">
                  <c:v>17.400000000000002</c:v>
                </c:pt>
                <c:pt idx="74">
                  <c:v>17.400000000000002</c:v>
                </c:pt>
                <c:pt idx="75">
                  <c:v>17.400000000000002</c:v>
                </c:pt>
                <c:pt idx="76">
                  <c:v>17.400000000000002</c:v>
                </c:pt>
                <c:pt idx="77">
                  <c:v>17.400000000000002</c:v>
                </c:pt>
                <c:pt idx="78">
                  <c:v>17.400000000000002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9B55-4850-B29C-5AB48CC93DDF}"/>
            </c:ext>
          </c:extLst>
        </c:ser>
        <c:ser>
          <c:idx val="10"/>
          <c:order val="10"/>
          <c:tx>
            <c:strRef>
              <c:f>SPC!$K$2</c:f>
              <c:strCache>
                <c:ptCount val="1"/>
                <c:pt idx="0">
                  <c:v>LSL: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val>
            <c:numRef>
              <c:f>Formule!$T$38:$CT$38</c:f>
              <c:numCache>
                <c:formatCode>0.00</c:formatCode>
                <c:ptCount val="79"/>
                <c:pt idx="0">
                  <c:v>17.2</c:v>
                </c:pt>
                <c:pt idx="1">
                  <c:v>17.2</c:v>
                </c:pt>
                <c:pt idx="2">
                  <c:v>17.2</c:v>
                </c:pt>
                <c:pt idx="3">
                  <c:v>17.2</c:v>
                </c:pt>
                <c:pt idx="4">
                  <c:v>17.2</c:v>
                </c:pt>
                <c:pt idx="5">
                  <c:v>17.2</c:v>
                </c:pt>
                <c:pt idx="6">
                  <c:v>17.2</c:v>
                </c:pt>
                <c:pt idx="7">
                  <c:v>17.2</c:v>
                </c:pt>
                <c:pt idx="8">
                  <c:v>17.2</c:v>
                </c:pt>
                <c:pt idx="9">
                  <c:v>17.2</c:v>
                </c:pt>
                <c:pt idx="10">
                  <c:v>17.2</c:v>
                </c:pt>
                <c:pt idx="11">
                  <c:v>17.2</c:v>
                </c:pt>
                <c:pt idx="12">
                  <c:v>17.2</c:v>
                </c:pt>
                <c:pt idx="13">
                  <c:v>17.2</c:v>
                </c:pt>
                <c:pt idx="14">
                  <c:v>17.2</c:v>
                </c:pt>
                <c:pt idx="15">
                  <c:v>17.2</c:v>
                </c:pt>
                <c:pt idx="16">
                  <c:v>17.2</c:v>
                </c:pt>
                <c:pt idx="17">
                  <c:v>17.2</c:v>
                </c:pt>
                <c:pt idx="18">
                  <c:v>17.2</c:v>
                </c:pt>
                <c:pt idx="19">
                  <c:v>17.2</c:v>
                </c:pt>
                <c:pt idx="20">
                  <c:v>17.2</c:v>
                </c:pt>
                <c:pt idx="21">
                  <c:v>17.2</c:v>
                </c:pt>
                <c:pt idx="22">
                  <c:v>17.2</c:v>
                </c:pt>
                <c:pt idx="23">
                  <c:v>17.2</c:v>
                </c:pt>
                <c:pt idx="24">
                  <c:v>17.2</c:v>
                </c:pt>
                <c:pt idx="25">
                  <c:v>17.2</c:v>
                </c:pt>
                <c:pt idx="26">
                  <c:v>17.2</c:v>
                </c:pt>
                <c:pt idx="27">
                  <c:v>17.2</c:v>
                </c:pt>
                <c:pt idx="28">
                  <c:v>17.2</c:v>
                </c:pt>
                <c:pt idx="29">
                  <c:v>17.2</c:v>
                </c:pt>
                <c:pt idx="30">
                  <c:v>17.2</c:v>
                </c:pt>
                <c:pt idx="31">
                  <c:v>17.2</c:v>
                </c:pt>
                <c:pt idx="32">
                  <c:v>17.2</c:v>
                </c:pt>
                <c:pt idx="33">
                  <c:v>17.2</c:v>
                </c:pt>
                <c:pt idx="34">
                  <c:v>17.2</c:v>
                </c:pt>
                <c:pt idx="35">
                  <c:v>17.2</c:v>
                </c:pt>
                <c:pt idx="36">
                  <c:v>17.2</c:v>
                </c:pt>
                <c:pt idx="37">
                  <c:v>17.2</c:v>
                </c:pt>
                <c:pt idx="38">
                  <c:v>17.2</c:v>
                </c:pt>
                <c:pt idx="39">
                  <c:v>17.2</c:v>
                </c:pt>
                <c:pt idx="40">
                  <c:v>17.2</c:v>
                </c:pt>
                <c:pt idx="41">
                  <c:v>17.2</c:v>
                </c:pt>
                <c:pt idx="42">
                  <c:v>17.2</c:v>
                </c:pt>
                <c:pt idx="43">
                  <c:v>17.2</c:v>
                </c:pt>
                <c:pt idx="44">
                  <c:v>17.2</c:v>
                </c:pt>
                <c:pt idx="45">
                  <c:v>17.2</c:v>
                </c:pt>
                <c:pt idx="46">
                  <c:v>17.2</c:v>
                </c:pt>
                <c:pt idx="47">
                  <c:v>17.2</c:v>
                </c:pt>
                <c:pt idx="48">
                  <c:v>17.2</c:v>
                </c:pt>
                <c:pt idx="49">
                  <c:v>17.2</c:v>
                </c:pt>
                <c:pt idx="50">
                  <c:v>17.2</c:v>
                </c:pt>
                <c:pt idx="51">
                  <c:v>17.2</c:v>
                </c:pt>
                <c:pt idx="52">
                  <c:v>17.2</c:v>
                </c:pt>
                <c:pt idx="53">
                  <c:v>17.2</c:v>
                </c:pt>
                <c:pt idx="54">
                  <c:v>17.2</c:v>
                </c:pt>
                <c:pt idx="55">
                  <c:v>17.2</c:v>
                </c:pt>
                <c:pt idx="56">
                  <c:v>17.2</c:v>
                </c:pt>
                <c:pt idx="57">
                  <c:v>17.2</c:v>
                </c:pt>
                <c:pt idx="58">
                  <c:v>17.2</c:v>
                </c:pt>
                <c:pt idx="59">
                  <c:v>17.2</c:v>
                </c:pt>
                <c:pt idx="60">
                  <c:v>17.2</c:v>
                </c:pt>
                <c:pt idx="61">
                  <c:v>17.2</c:v>
                </c:pt>
                <c:pt idx="62">
                  <c:v>17.2</c:v>
                </c:pt>
                <c:pt idx="63">
                  <c:v>17.2</c:v>
                </c:pt>
                <c:pt idx="64">
                  <c:v>17.2</c:v>
                </c:pt>
                <c:pt idx="65">
                  <c:v>17.2</c:v>
                </c:pt>
                <c:pt idx="66">
                  <c:v>17.2</c:v>
                </c:pt>
                <c:pt idx="67">
                  <c:v>17.2</c:v>
                </c:pt>
                <c:pt idx="68">
                  <c:v>17.2</c:v>
                </c:pt>
                <c:pt idx="69">
                  <c:v>17.2</c:v>
                </c:pt>
                <c:pt idx="70">
                  <c:v>17.2</c:v>
                </c:pt>
                <c:pt idx="71">
                  <c:v>17.2</c:v>
                </c:pt>
                <c:pt idx="72">
                  <c:v>17.2</c:v>
                </c:pt>
                <c:pt idx="73">
                  <c:v>17.2</c:v>
                </c:pt>
                <c:pt idx="74">
                  <c:v>17.2</c:v>
                </c:pt>
                <c:pt idx="75">
                  <c:v>17.2</c:v>
                </c:pt>
                <c:pt idx="76">
                  <c:v>17.2</c:v>
                </c:pt>
                <c:pt idx="77">
                  <c:v>17.2</c:v>
                </c:pt>
                <c:pt idx="78">
                  <c:v>17.2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9B55-4850-B29C-5AB48CC93DDF}"/>
            </c:ext>
          </c:extLst>
        </c:ser>
        <c:ser>
          <c:idx val="11"/>
          <c:order val="11"/>
          <c:tx>
            <c:strRef>
              <c:f>SPC!$M$2</c:f>
              <c:strCache>
                <c:ptCount val="1"/>
                <c:pt idx="0">
                  <c:v>SPEC.:</c:v>
                </c:pt>
              </c:strCache>
            </c:strRef>
          </c:tx>
          <c:spPr>
            <a:ln>
              <a:solidFill>
                <a:srgbClr val="00B050"/>
              </a:solidFill>
              <a:prstDash val="dashDot"/>
            </a:ln>
          </c:spPr>
          <c:marker>
            <c:symbol val="none"/>
          </c:marker>
          <c:val>
            <c:numRef>
              <c:f>Formule!$T$39:$CT$39</c:f>
              <c:numCache>
                <c:formatCode>0.00</c:formatCode>
                <c:ptCount val="79"/>
                <c:pt idx="0">
                  <c:v>17.3</c:v>
                </c:pt>
                <c:pt idx="1">
                  <c:v>17.3</c:v>
                </c:pt>
                <c:pt idx="2">
                  <c:v>17.3</c:v>
                </c:pt>
                <c:pt idx="3">
                  <c:v>17.3</c:v>
                </c:pt>
                <c:pt idx="4">
                  <c:v>17.3</c:v>
                </c:pt>
                <c:pt idx="5">
                  <c:v>17.3</c:v>
                </c:pt>
                <c:pt idx="6">
                  <c:v>17.3</c:v>
                </c:pt>
                <c:pt idx="7">
                  <c:v>17.3</c:v>
                </c:pt>
                <c:pt idx="8">
                  <c:v>17.3</c:v>
                </c:pt>
                <c:pt idx="9">
                  <c:v>17.3</c:v>
                </c:pt>
                <c:pt idx="10">
                  <c:v>17.3</c:v>
                </c:pt>
                <c:pt idx="11">
                  <c:v>17.3</c:v>
                </c:pt>
                <c:pt idx="12">
                  <c:v>17.3</c:v>
                </c:pt>
                <c:pt idx="13">
                  <c:v>17.3</c:v>
                </c:pt>
                <c:pt idx="14">
                  <c:v>17.3</c:v>
                </c:pt>
                <c:pt idx="15">
                  <c:v>17.3</c:v>
                </c:pt>
                <c:pt idx="16">
                  <c:v>17.3</c:v>
                </c:pt>
                <c:pt idx="17">
                  <c:v>17.3</c:v>
                </c:pt>
                <c:pt idx="18">
                  <c:v>17.3</c:v>
                </c:pt>
                <c:pt idx="19">
                  <c:v>17.3</c:v>
                </c:pt>
                <c:pt idx="20">
                  <c:v>17.3</c:v>
                </c:pt>
                <c:pt idx="21">
                  <c:v>17.3</c:v>
                </c:pt>
                <c:pt idx="22">
                  <c:v>17.3</c:v>
                </c:pt>
                <c:pt idx="23">
                  <c:v>17.3</c:v>
                </c:pt>
                <c:pt idx="24">
                  <c:v>17.3</c:v>
                </c:pt>
                <c:pt idx="25">
                  <c:v>17.3</c:v>
                </c:pt>
                <c:pt idx="26">
                  <c:v>17.3</c:v>
                </c:pt>
                <c:pt idx="27">
                  <c:v>17.3</c:v>
                </c:pt>
                <c:pt idx="28">
                  <c:v>17.3</c:v>
                </c:pt>
                <c:pt idx="29">
                  <c:v>17.3</c:v>
                </c:pt>
                <c:pt idx="30">
                  <c:v>17.3</c:v>
                </c:pt>
                <c:pt idx="31">
                  <c:v>17.3</c:v>
                </c:pt>
                <c:pt idx="32">
                  <c:v>17.3</c:v>
                </c:pt>
                <c:pt idx="33">
                  <c:v>17.3</c:v>
                </c:pt>
                <c:pt idx="34">
                  <c:v>17.3</c:v>
                </c:pt>
                <c:pt idx="35">
                  <c:v>17.3</c:v>
                </c:pt>
                <c:pt idx="36">
                  <c:v>17.3</c:v>
                </c:pt>
                <c:pt idx="37">
                  <c:v>17.3</c:v>
                </c:pt>
                <c:pt idx="38">
                  <c:v>17.3</c:v>
                </c:pt>
                <c:pt idx="39">
                  <c:v>17.3</c:v>
                </c:pt>
                <c:pt idx="40">
                  <c:v>17.3</c:v>
                </c:pt>
                <c:pt idx="41">
                  <c:v>17.3</c:v>
                </c:pt>
                <c:pt idx="42">
                  <c:v>17.3</c:v>
                </c:pt>
                <c:pt idx="43">
                  <c:v>17.3</c:v>
                </c:pt>
                <c:pt idx="44">
                  <c:v>17.3</c:v>
                </c:pt>
                <c:pt idx="45">
                  <c:v>17.3</c:v>
                </c:pt>
                <c:pt idx="46">
                  <c:v>17.3</c:v>
                </c:pt>
                <c:pt idx="47">
                  <c:v>17.3</c:v>
                </c:pt>
                <c:pt idx="48">
                  <c:v>17.3</c:v>
                </c:pt>
                <c:pt idx="49">
                  <c:v>17.3</c:v>
                </c:pt>
                <c:pt idx="50">
                  <c:v>17.3</c:v>
                </c:pt>
                <c:pt idx="51">
                  <c:v>17.3</c:v>
                </c:pt>
                <c:pt idx="52">
                  <c:v>17.3</c:v>
                </c:pt>
                <c:pt idx="53">
                  <c:v>17.3</c:v>
                </c:pt>
                <c:pt idx="54">
                  <c:v>17.3</c:v>
                </c:pt>
                <c:pt idx="55">
                  <c:v>17.3</c:v>
                </c:pt>
                <c:pt idx="56">
                  <c:v>17.3</c:v>
                </c:pt>
                <c:pt idx="57">
                  <c:v>17.3</c:v>
                </c:pt>
                <c:pt idx="58">
                  <c:v>17.3</c:v>
                </c:pt>
                <c:pt idx="59">
                  <c:v>17.3</c:v>
                </c:pt>
                <c:pt idx="60">
                  <c:v>17.3</c:v>
                </c:pt>
                <c:pt idx="61">
                  <c:v>17.3</c:v>
                </c:pt>
                <c:pt idx="62">
                  <c:v>17.3</c:v>
                </c:pt>
                <c:pt idx="63">
                  <c:v>17.3</c:v>
                </c:pt>
                <c:pt idx="64">
                  <c:v>17.3</c:v>
                </c:pt>
                <c:pt idx="65">
                  <c:v>17.3</c:v>
                </c:pt>
                <c:pt idx="66">
                  <c:v>17.3</c:v>
                </c:pt>
                <c:pt idx="67">
                  <c:v>17.3</c:v>
                </c:pt>
                <c:pt idx="68">
                  <c:v>17.3</c:v>
                </c:pt>
                <c:pt idx="69">
                  <c:v>17.3</c:v>
                </c:pt>
                <c:pt idx="70">
                  <c:v>17.3</c:v>
                </c:pt>
                <c:pt idx="71">
                  <c:v>17.3</c:v>
                </c:pt>
                <c:pt idx="72">
                  <c:v>17.3</c:v>
                </c:pt>
                <c:pt idx="73">
                  <c:v>17.3</c:v>
                </c:pt>
                <c:pt idx="74">
                  <c:v>17.3</c:v>
                </c:pt>
                <c:pt idx="75">
                  <c:v>17.3</c:v>
                </c:pt>
                <c:pt idx="76">
                  <c:v>17.3</c:v>
                </c:pt>
                <c:pt idx="77">
                  <c:v>17.3</c:v>
                </c:pt>
                <c:pt idx="78">
                  <c:v>17.3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9B55-4850-B29C-5AB48CC93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259520"/>
        <c:axId val="33261056"/>
      </c:lineChart>
      <c:catAx>
        <c:axId val="33259520"/>
        <c:scaling>
          <c:orientation val="minMax"/>
        </c:scaling>
        <c:delete val="0"/>
        <c:axPos val="b"/>
        <c:majorGridlines/>
        <c:minorGridlines>
          <c:spPr>
            <a:ln>
              <a:noFill/>
            </a:ln>
          </c:spPr>
        </c:minorGridlines>
        <c:majorTickMark val="out"/>
        <c:minorTickMark val="none"/>
        <c:tickLblPos val="nextTo"/>
        <c:crossAx val="33261056"/>
        <c:crosses val="autoZero"/>
        <c:auto val="1"/>
        <c:lblAlgn val="ctr"/>
        <c:lblOffset val="1"/>
        <c:tickLblSkip val="1"/>
        <c:noMultiLvlLbl val="0"/>
      </c:catAx>
      <c:valAx>
        <c:axId val="33261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.00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3259520"/>
        <c:crosses val="autoZero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204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06047031915338E-2"/>
          <c:y val="2.9281404592376541E-2"/>
          <c:w val="0.93519859590712728"/>
          <c:h val="0.8092315450984062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Formule!$G$191</c:f>
              <c:strCache>
                <c:ptCount val="1"/>
                <c:pt idx="0">
                  <c:v>0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Formule!$F$192:$F$341</c:f>
              <c:strCache>
                <c:ptCount val="150"/>
                <c:pt idx="0">
                  <c:v>17.199 to 17.200</c:v>
                </c:pt>
                <c:pt idx="1">
                  <c:v>17.200 to 17.201</c:v>
                </c:pt>
                <c:pt idx="2">
                  <c:v>17.201 to 17.202</c:v>
                </c:pt>
                <c:pt idx="3">
                  <c:v>17.202 to 17.203</c:v>
                </c:pt>
                <c:pt idx="4">
                  <c:v>17.203 to 17.204</c:v>
                </c:pt>
                <c:pt idx="5">
                  <c:v>17.204 to 17.205</c:v>
                </c:pt>
                <c:pt idx="6">
                  <c:v>17.205 to 17.206</c:v>
                </c:pt>
                <c:pt idx="7">
                  <c:v>17.206 to 17.207</c:v>
                </c:pt>
                <c:pt idx="8">
                  <c:v>17.207 to 17.208</c:v>
                </c:pt>
                <c:pt idx="9">
                  <c:v>17.208 to 17.209</c:v>
                </c:pt>
                <c:pt idx="10">
                  <c:v>17.209 to 17.210</c:v>
                </c:pt>
                <c:pt idx="11">
                  <c:v>17.210 to 17.211</c:v>
                </c:pt>
                <c:pt idx="12">
                  <c:v>17.211 to 17.212</c:v>
                </c:pt>
                <c:pt idx="13">
                  <c:v>17.212 to 17.213</c:v>
                </c:pt>
                <c:pt idx="14">
                  <c:v>17.213 to 17.214</c:v>
                </c:pt>
                <c:pt idx="15">
                  <c:v>17.214 to 17.215</c:v>
                </c:pt>
                <c:pt idx="16">
                  <c:v>17.215 to 17.216</c:v>
                </c:pt>
                <c:pt idx="17">
                  <c:v>17.216 to 17.217</c:v>
                </c:pt>
                <c:pt idx="18">
                  <c:v>17.217 to 17.218</c:v>
                </c:pt>
                <c:pt idx="19">
                  <c:v>17.218 to 17.219</c:v>
                </c:pt>
                <c:pt idx="20">
                  <c:v>17.219 to 17.220</c:v>
                </c:pt>
                <c:pt idx="21">
                  <c:v>17.220 to 17.221</c:v>
                </c:pt>
                <c:pt idx="22">
                  <c:v>17.221 to 17.222</c:v>
                </c:pt>
                <c:pt idx="23">
                  <c:v>17.222 to 17.223</c:v>
                </c:pt>
                <c:pt idx="24">
                  <c:v>17.223 to 17.224</c:v>
                </c:pt>
                <c:pt idx="25">
                  <c:v>17.224 to 17.225</c:v>
                </c:pt>
                <c:pt idx="26">
                  <c:v>17.225 to 17.226</c:v>
                </c:pt>
                <c:pt idx="27">
                  <c:v>17.226 to 17.227</c:v>
                </c:pt>
                <c:pt idx="28">
                  <c:v>17.227 to 17.228</c:v>
                </c:pt>
                <c:pt idx="29">
                  <c:v>17.228 to 17.229</c:v>
                </c:pt>
                <c:pt idx="30">
                  <c:v>17.229 to 17.230</c:v>
                </c:pt>
                <c:pt idx="31">
                  <c:v>17.230 to 17.231</c:v>
                </c:pt>
                <c:pt idx="32">
                  <c:v>17.231 to 17.232</c:v>
                </c:pt>
                <c:pt idx="33">
                  <c:v>17.232 to 17.233</c:v>
                </c:pt>
                <c:pt idx="34">
                  <c:v>17.233 to 17.234</c:v>
                </c:pt>
                <c:pt idx="35">
                  <c:v>17.234 to 17.235</c:v>
                </c:pt>
                <c:pt idx="36">
                  <c:v>17.235 to 17.236</c:v>
                </c:pt>
                <c:pt idx="37">
                  <c:v>17.236 to 17.237</c:v>
                </c:pt>
                <c:pt idx="38">
                  <c:v>17.237 to 17.238</c:v>
                </c:pt>
                <c:pt idx="39">
                  <c:v>17.238 to 17.239</c:v>
                </c:pt>
                <c:pt idx="40">
                  <c:v>17.239 to 17.240</c:v>
                </c:pt>
                <c:pt idx="41">
                  <c:v>17.240 to 17.241</c:v>
                </c:pt>
                <c:pt idx="42">
                  <c:v>17.241 to 17.242</c:v>
                </c:pt>
                <c:pt idx="43">
                  <c:v>17.242 to 17.243</c:v>
                </c:pt>
                <c:pt idx="44">
                  <c:v>17.243 to 17.244</c:v>
                </c:pt>
                <c:pt idx="45">
                  <c:v>17.244 to 17.245</c:v>
                </c:pt>
                <c:pt idx="46">
                  <c:v>17.245 to 17.246</c:v>
                </c:pt>
                <c:pt idx="47">
                  <c:v>17.246 to 17.247</c:v>
                </c:pt>
                <c:pt idx="48">
                  <c:v>17.247 to 17.248</c:v>
                </c:pt>
                <c:pt idx="49">
                  <c:v>17.248 to 17.249</c:v>
                </c:pt>
                <c:pt idx="50">
                  <c:v>17.249 to 17.250</c:v>
                </c:pt>
                <c:pt idx="51">
                  <c:v>17.250 to 17.251</c:v>
                </c:pt>
                <c:pt idx="52">
                  <c:v>17.251 to 17.252</c:v>
                </c:pt>
                <c:pt idx="53">
                  <c:v>17.252 to 17.253</c:v>
                </c:pt>
                <c:pt idx="54">
                  <c:v>17.253 to 17.254</c:v>
                </c:pt>
                <c:pt idx="55">
                  <c:v>17.254 to 17.255</c:v>
                </c:pt>
                <c:pt idx="56">
                  <c:v>17.255 to 17.256</c:v>
                </c:pt>
                <c:pt idx="57">
                  <c:v>17.256 to 17.257</c:v>
                </c:pt>
                <c:pt idx="58">
                  <c:v>17.257 to 17.258</c:v>
                </c:pt>
                <c:pt idx="59">
                  <c:v>17.258 to 17.259</c:v>
                </c:pt>
                <c:pt idx="60">
                  <c:v>17.259 to 17.260</c:v>
                </c:pt>
                <c:pt idx="61">
                  <c:v>17.260 to 17.261</c:v>
                </c:pt>
                <c:pt idx="62">
                  <c:v>17.261 to 17.262</c:v>
                </c:pt>
                <c:pt idx="63">
                  <c:v>17.262 to 17.263</c:v>
                </c:pt>
                <c:pt idx="64">
                  <c:v>17.263 to 17.264</c:v>
                </c:pt>
                <c:pt idx="65">
                  <c:v>17.264 to 17.265</c:v>
                </c:pt>
                <c:pt idx="66">
                  <c:v>17.265 to 17.266</c:v>
                </c:pt>
                <c:pt idx="67">
                  <c:v>17.266 to 17.267</c:v>
                </c:pt>
                <c:pt idx="68">
                  <c:v>17.267 to 17.268</c:v>
                </c:pt>
                <c:pt idx="69">
                  <c:v>17.268 to 17.269</c:v>
                </c:pt>
                <c:pt idx="70">
                  <c:v>17.269 to 17.270</c:v>
                </c:pt>
                <c:pt idx="71">
                  <c:v>17.270 to 17.271</c:v>
                </c:pt>
                <c:pt idx="72">
                  <c:v>17.271 to 17.272</c:v>
                </c:pt>
                <c:pt idx="73">
                  <c:v>17.272 to 17.273</c:v>
                </c:pt>
                <c:pt idx="74">
                  <c:v>17.273 to 17.274</c:v>
                </c:pt>
                <c:pt idx="75">
                  <c:v>17.274 to 17.275</c:v>
                </c:pt>
                <c:pt idx="76">
                  <c:v>17.275 to 17.276</c:v>
                </c:pt>
                <c:pt idx="77">
                  <c:v>17.276 to 17.277</c:v>
                </c:pt>
                <c:pt idx="78">
                  <c:v>17.277 to 17.278</c:v>
                </c:pt>
                <c:pt idx="79">
                  <c:v>17.278 to 17.279</c:v>
                </c:pt>
                <c:pt idx="80">
                  <c:v>17.279 to 17.280</c:v>
                </c:pt>
                <c:pt idx="81">
                  <c:v>17.280 to 17.281</c:v>
                </c:pt>
                <c:pt idx="82">
                  <c:v>17.281 to 17.282</c:v>
                </c:pt>
                <c:pt idx="83">
                  <c:v>17.282 to 17.283</c:v>
                </c:pt>
                <c:pt idx="84">
                  <c:v>17.283 to 17.284</c:v>
                </c:pt>
                <c:pt idx="85">
                  <c:v>17.284 to 17.285</c:v>
                </c:pt>
                <c:pt idx="86">
                  <c:v>17.285 to 17.286</c:v>
                </c:pt>
                <c:pt idx="87">
                  <c:v>17.286 to 17.287</c:v>
                </c:pt>
                <c:pt idx="88">
                  <c:v>17.287 to 17.288</c:v>
                </c:pt>
                <c:pt idx="89">
                  <c:v>17.288 to 17.289</c:v>
                </c:pt>
                <c:pt idx="90">
                  <c:v>17.289 to 17.290</c:v>
                </c:pt>
                <c:pt idx="91">
                  <c:v>17.290 to 17.291</c:v>
                </c:pt>
                <c:pt idx="92">
                  <c:v>17.291 to 17.292</c:v>
                </c:pt>
                <c:pt idx="93">
                  <c:v>17.292 to 17.293</c:v>
                </c:pt>
                <c:pt idx="94">
                  <c:v>17.293 to 17.294</c:v>
                </c:pt>
                <c:pt idx="95">
                  <c:v>17.294 to 17.295</c:v>
                </c:pt>
                <c:pt idx="96">
                  <c:v>17.295 to 17.296</c:v>
                </c:pt>
                <c:pt idx="97">
                  <c:v>17.296 to 17.297</c:v>
                </c:pt>
                <c:pt idx="98">
                  <c:v>17.297 to 17.298</c:v>
                </c:pt>
                <c:pt idx="99">
                  <c:v>17.298 to 17.299</c:v>
                </c:pt>
                <c:pt idx="100">
                  <c:v>17.299 to 17.300</c:v>
                </c:pt>
                <c:pt idx="101">
                  <c:v>17.300 to 17.301</c:v>
                </c:pt>
                <c:pt idx="102">
                  <c:v>17.301 to 17.302</c:v>
                </c:pt>
                <c:pt idx="103">
                  <c:v>17.302 to 17.303</c:v>
                </c:pt>
                <c:pt idx="104">
                  <c:v>17.303 to 17.304</c:v>
                </c:pt>
                <c:pt idx="105">
                  <c:v>17.304 to 17.305</c:v>
                </c:pt>
                <c:pt idx="106">
                  <c:v>17.305 to 17.306</c:v>
                </c:pt>
                <c:pt idx="107">
                  <c:v>17.306 to 17.307</c:v>
                </c:pt>
                <c:pt idx="108">
                  <c:v>17.307 to 17.308</c:v>
                </c:pt>
                <c:pt idx="109">
                  <c:v>17.308 to 17.309</c:v>
                </c:pt>
                <c:pt idx="110">
                  <c:v>17.309 to 17.310</c:v>
                </c:pt>
                <c:pt idx="111">
                  <c:v>17.310 to 17.311</c:v>
                </c:pt>
                <c:pt idx="112">
                  <c:v>17.311 to 17.312</c:v>
                </c:pt>
                <c:pt idx="113">
                  <c:v>17.312 to 17.313</c:v>
                </c:pt>
                <c:pt idx="114">
                  <c:v>17.313 to 17.314</c:v>
                </c:pt>
                <c:pt idx="115">
                  <c:v>17.314 to 17.315</c:v>
                </c:pt>
                <c:pt idx="116">
                  <c:v>17.315 to 17.316</c:v>
                </c:pt>
                <c:pt idx="117">
                  <c:v>17.316 to 17.317</c:v>
                </c:pt>
                <c:pt idx="118">
                  <c:v>17.317 to 17.318</c:v>
                </c:pt>
                <c:pt idx="119">
                  <c:v>17.318 to 17.319</c:v>
                </c:pt>
                <c:pt idx="120">
                  <c:v>17.319 to 17.320</c:v>
                </c:pt>
                <c:pt idx="121">
                  <c:v>17.320 to 17.321</c:v>
                </c:pt>
                <c:pt idx="122">
                  <c:v>17.321 to 17.322</c:v>
                </c:pt>
                <c:pt idx="123">
                  <c:v>17.322 to 17.323</c:v>
                </c:pt>
                <c:pt idx="124">
                  <c:v>17.323 to 17.324</c:v>
                </c:pt>
                <c:pt idx="125">
                  <c:v>17.324 to 17.325</c:v>
                </c:pt>
                <c:pt idx="126">
                  <c:v>17.325 to 17.326</c:v>
                </c:pt>
                <c:pt idx="127">
                  <c:v>17.326 to 17.327</c:v>
                </c:pt>
                <c:pt idx="128">
                  <c:v>17.327 to 17.328</c:v>
                </c:pt>
                <c:pt idx="129">
                  <c:v>17.328 to 17.329</c:v>
                </c:pt>
                <c:pt idx="130">
                  <c:v>17.329 to 17.330</c:v>
                </c:pt>
                <c:pt idx="131">
                  <c:v>17.330 to 17.331</c:v>
                </c:pt>
                <c:pt idx="132">
                  <c:v>17.331 to 17.332</c:v>
                </c:pt>
                <c:pt idx="133">
                  <c:v>17.332 to 17.333</c:v>
                </c:pt>
                <c:pt idx="134">
                  <c:v>17.333 to 17.334</c:v>
                </c:pt>
                <c:pt idx="135">
                  <c:v>17.334 to 17.335</c:v>
                </c:pt>
                <c:pt idx="136">
                  <c:v>17.335 to 17.336</c:v>
                </c:pt>
                <c:pt idx="137">
                  <c:v>17.336 to 17.337</c:v>
                </c:pt>
                <c:pt idx="138">
                  <c:v>17.337 to 17.338</c:v>
                </c:pt>
                <c:pt idx="139">
                  <c:v>17.338 to 17.339</c:v>
                </c:pt>
                <c:pt idx="140">
                  <c:v>17.339 to 17.340</c:v>
                </c:pt>
                <c:pt idx="141">
                  <c:v>17.340 to 17.341</c:v>
                </c:pt>
                <c:pt idx="142">
                  <c:v>17.341 to 17.342</c:v>
                </c:pt>
                <c:pt idx="143">
                  <c:v>17.342 to 17.343</c:v>
                </c:pt>
                <c:pt idx="144">
                  <c:v>17.343 to 17.344</c:v>
                </c:pt>
                <c:pt idx="145">
                  <c:v>17.344 to 17.345</c:v>
                </c:pt>
                <c:pt idx="146">
                  <c:v>17.345 to 17.346</c:v>
                </c:pt>
                <c:pt idx="147">
                  <c:v>17.346 to 17.347</c:v>
                </c:pt>
                <c:pt idx="148">
                  <c:v>17.347 to 17.348</c:v>
                </c:pt>
                <c:pt idx="149">
                  <c:v>17.348 to 17.349</c:v>
                </c:pt>
              </c:strCache>
            </c:strRef>
          </c:cat>
          <c:val>
            <c:numRef>
              <c:f>Formule!$G$192:$G$341</c:f>
              <c:numCache>
                <c:formatCode>0</c:formatCode>
                <c:ptCount val="1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13</c:v>
                </c:pt>
                <c:pt idx="25">
                  <c:v>13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13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12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05-41F2-AC31-38B990C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axId val="33327744"/>
        <c:axId val="33333632"/>
      </c:barChart>
      <c:lineChart>
        <c:grouping val="standard"/>
        <c:varyColors val="0"/>
        <c:ser>
          <c:idx val="1"/>
          <c:order val="1"/>
          <c:tx>
            <c:strRef>
              <c:f>Formule!$H$191</c:f>
              <c:strCache>
                <c:ptCount val="1"/>
                <c:pt idx="0">
                  <c:v>4.08744E-05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Formule!$F$192:$F$341</c:f>
              <c:strCache>
                <c:ptCount val="150"/>
                <c:pt idx="0">
                  <c:v>17.199 to 17.200</c:v>
                </c:pt>
                <c:pt idx="1">
                  <c:v>17.200 to 17.201</c:v>
                </c:pt>
                <c:pt idx="2">
                  <c:v>17.201 to 17.202</c:v>
                </c:pt>
                <c:pt idx="3">
                  <c:v>17.202 to 17.203</c:v>
                </c:pt>
                <c:pt idx="4">
                  <c:v>17.203 to 17.204</c:v>
                </c:pt>
                <c:pt idx="5">
                  <c:v>17.204 to 17.205</c:v>
                </c:pt>
                <c:pt idx="6">
                  <c:v>17.205 to 17.206</c:v>
                </c:pt>
                <c:pt idx="7">
                  <c:v>17.206 to 17.207</c:v>
                </c:pt>
                <c:pt idx="8">
                  <c:v>17.207 to 17.208</c:v>
                </c:pt>
                <c:pt idx="9">
                  <c:v>17.208 to 17.209</c:v>
                </c:pt>
                <c:pt idx="10">
                  <c:v>17.209 to 17.210</c:v>
                </c:pt>
                <c:pt idx="11">
                  <c:v>17.210 to 17.211</c:v>
                </c:pt>
                <c:pt idx="12">
                  <c:v>17.211 to 17.212</c:v>
                </c:pt>
                <c:pt idx="13">
                  <c:v>17.212 to 17.213</c:v>
                </c:pt>
                <c:pt idx="14">
                  <c:v>17.213 to 17.214</c:v>
                </c:pt>
                <c:pt idx="15">
                  <c:v>17.214 to 17.215</c:v>
                </c:pt>
                <c:pt idx="16">
                  <c:v>17.215 to 17.216</c:v>
                </c:pt>
                <c:pt idx="17">
                  <c:v>17.216 to 17.217</c:v>
                </c:pt>
                <c:pt idx="18">
                  <c:v>17.217 to 17.218</c:v>
                </c:pt>
                <c:pt idx="19">
                  <c:v>17.218 to 17.219</c:v>
                </c:pt>
                <c:pt idx="20">
                  <c:v>17.219 to 17.220</c:v>
                </c:pt>
                <c:pt idx="21">
                  <c:v>17.220 to 17.221</c:v>
                </c:pt>
                <c:pt idx="22">
                  <c:v>17.221 to 17.222</c:v>
                </c:pt>
                <c:pt idx="23">
                  <c:v>17.222 to 17.223</c:v>
                </c:pt>
                <c:pt idx="24">
                  <c:v>17.223 to 17.224</c:v>
                </c:pt>
                <c:pt idx="25">
                  <c:v>17.224 to 17.225</c:v>
                </c:pt>
                <c:pt idx="26">
                  <c:v>17.225 to 17.226</c:v>
                </c:pt>
                <c:pt idx="27">
                  <c:v>17.226 to 17.227</c:v>
                </c:pt>
                <c:pt idx="28">
                  <c:v>17.227 to 17.228</c:v>
                </c:pt>
                <c:pt idx="29">
                  <c:v>17.228 to 17.229</c:v>
                </c:pt>
                <c:pt idx="30">
                  <c:v>17.229 to 17.230</c:v>
                </c:pt>
                <c:pt idx="31">
                  <c:v>17.230 to 17.231</c:v>
                </c:pt>
                <c:pt idx="32">
                  <c:v>17.231 to 17.232</c:v>
                </c:pt>
                <c:pt idx="33">
                  <c:v>17.232 to 17.233</c:v>
                </c:pt>
                <c:pt idx="34">
                  <c:v>17.233 to 17.234</c:v>
                </c:pt>
                <c:pt idx="35">
                  <c:v>17.234 to 17.235</c:v>
                </c:pt>
                <c:pt idx="36">
                  <c:v>17.235 to 17.236</c:v>
                </c:pt>
                <c:pt idx="37">
                  <c:v>17.236 to 17.237</c:v>
                </c:pt>
                <c:pt idx="38">
                  <c:v>17.237 to 17.238</c:v>
                </c:pt>
                <c:pt idx="39">
                  <c:v>17.238 to 17.239</c:v>
                </c:pt>
                <c:pt idx="40">
                  <c:v>17.239 to 17.240</c:v>
                </c:pt>
                <c:pt idx="41">
                  <c:v>17.240 to 17.241</c:v>
                </c:pt>
                <c:pt idx="42">
                  <c:v>17.241 to 17.242</c:v>
                </c:pt>
                <c:pt idx="43">
                  <c:v>17.242 to 17.243</c:v>
                </c:pt>
                <c:pt idx="44">
                  <c:v>17.243 to 17.244</c:v>
                </c:pt>
                <c:pt idx="45">
                  <c:v>17.244 to 17.245</c:v>
                </c:pt>
                <c:pt idx="46">
                  <c:v>17.245 to 17.246</c:v>
                </c:pt>
                <c:pt idx="47">
                  <c:v>17.246 to 17.247</c:v>
                </c:pt>
                <c:pt idx="48">
                  <c:v>17.247 to 17.248</c:v>
                </c:pt>
                <c:pt idx="49">
                  <c:v>17.248 to 17.249</c:v>
                </c:pt>
                <c:pt idx="50">
                  <c:v>17.249 to 17.250</c:v>
                </c:pt>
                <c:pt idx="51">
                  <c:v>17.250 to 17.251</c:v>
                </c:pt>
                <c:pt idx="52">
                  <c:v>17.251 to 17.252</c:v>
                </c:pt>
                <c:pt idx="53">
                  <c:v>17.252 to 17.253</c:v>
                </c:pt>
                <c:pt idx="54">
                  <c:v>17.253 to 17.254</c:v>
                </c:pt>
                <c:pt idx="55">
                  <c:v>17.254 to 17.255</c:v>
                </c:pt>
                <c:pt idx="56">
                  <c:v>17.255 to 17.256</c:v>
                </c:pt>
                <c:pt idx="57">
                  <c:v>17.256 to 17.257</c:v>
                </c:pt>
                <c:pt idx="58">
                  <c:v>17.257 to 17.258</c:v>
                </c:pt>
                <c:pt idx="59">
                  <c:v>17.258 to 17.259</c:v>
                </c:pt>
                <c:pt idx="60">
                  <c:v>17.259 to 17.260</c:v>
                </c:pt>
                <c:pt idx="61">
                  <c:v>17.260 to 17.261</c:v>
                </c:pt>
                <c:pt idx="62">
                  <c:v>17.261 to 17.262</c:v>
                </c:pt>
                <c:pt idx="63">
                  <c:v>17.262 to 17.263</c:v>
                </c:pt>
                <c:pt idx="64">
                  <c:v>17.263 to 17.264</c:v>
                </c:pt>
                <c:pt idx="65">
                  <c:v>17.264 to 17.265</c:v>
                </c:pt>
                <c:pt idx="66">
                  <c:v>17.265 to 17.266</c:v>
                </c:pt>
                <c:pt idx="67">
                  <c:v>17.266 to 17.267</c:v>
                </c:pt>
                <c:pt idx="68">
                  <c:v>17.267 to 17.268</c:v>
                </c:pt>
                <c:pt idx="69">
                  <c:v>17.268 to 17.269</c:v>
                </c:pt>
                <c:pt idx="70">
                  <c:v>17.269 to 17.270</c:v>
                </c:pt>
                <c:pt idx="71">
                  <c:v>17.270 to 17.271</c:v>
                </c:pt>
                <c:pt idx="72">
                  <c:v>17.271 to 17.272</c:v>
                </c:pt>
                <c:pt idx="73">
                  <c:v>17.272 to 17.273</c:v>
                </c:pt>
                <c:pt idx="74">
                  <c:v>17.273 to 17.274</c:v>
                </c:pt>
                <c:pt idx="75">
                  <c:v>17.274 to 17.275</c:v>
                </c:pt>
                <c:pt idx="76">
                  <c:v>17.275 to 17.276</c:v>
                </c:pt>
                <c:pt idx="77">
                  <c:v>17.276 to 17.277</c:v>
                </c:pt>
                <c:pt idx="78">
                  <c:v>17.277 to 17.278</c:v>
                </c:pt>
                <c:pt idx="79">
                  <c:v>17.278 to 17.279</c:v>
                </c:pt>
                <c:pt idx="80">
                  <c:v>17.279 to 17.280</c:v>
                </c:pt>
                <c:pt idx="81">
                  <c:v>17.280 to 17.281</c:v>
                </c:pt>
                <c:pt idx="82">
                  <c:v>17.281 to 17.282</c:v>
                </c:pt>
                <c:pt idx="83">
                  <c:v>17.282 to 17.283</c:v>
                </c:pt>
                <c:pt idx="84">
                  <c:v>17.283 to 17.284</c:v>
                </c:pt>
                <c:pt idx="85">
                  <c:v>17.284 to 17.285</c:v>
                </c:pt>
                <c:pt idx="86">
                  <c:v>17.285 to 17.286</c:v>
                </c:pt>
                <c:pt idx="87">
                  <c:v>17.286 to 17.287</c:v>
                </c:pt>
                <c:pt idx="88">
                  <c:v>17.287 to 17.288</c:v>
                </c:pt>
                <c:pt idx="89">
                  <c:v>17.288 to 17.289</c:v>
                </c:pt>
                <c:pt idx="90">
                  <c:v>17.289 to 17.290</c:v>
                </c:pt>
                <c:pt idx="91">
                  <c:v>17.290 to 17.291</c:v>
                </c:pt>
                <c:pt idx="92">
                  <c:v>17.291 to 17.292</c:v>
                </c:pt>
                <c:pt idx="93">
                  <c:v>17.292 to 17.293</c:v>
                </c:pt>
                <c:pt idx="94">
                  <c:v>17.293 to 17.294</c:v>
                </c:pt>
                <c:pt idx="95">
                  <c:v>17.294 to 17.295</c:v>
                </c:pt>
                <c:pt idx="96">
                  <c:v>17.295 to 17.296</c:v>
                </c:pt>
                <c:pt idx="97">
                  <c:v>17.296 to 17.297</c:v>
                </c:pt>
                <c:pt idx="98">
                  <c:v>17.297 to 17.298</c:v>
                </c:pt>
                <c:pt idx="99">
                  <c:v>17.298 to 17.299</c:v>
                </c:pt>
                <c:pt idx="100">
                  <c:v>17.299 to 17.300</c:v>
                </c:pt>
                <c:pt idx="101">
                  <c:v>17.300 to 17.301</c:v>
                </c:pt>
                <c:pt idx="102">
                  <c:v>17.301 to 17.302</c:v>
                </c:pt>
                <c:pt idx="103">
                  <c:v>17.302 to 17.303</c:v>
                </c:pt>
                <c:pt idx="104">
                  <c:v>17.303 to 17.304</c:v>
                </c:pt>
                <c:pt idx="105">
                  <c:v>17.304 to 17.305</c:v>
                </c:pt>
                <c:pt idx="106">
                  <c:v>17.305 to 17.306</c:v>
                </c:pt>
                <c:pt idx="107">
                  <c:v>17.306 to 17.307</c:v>
                </c:pt>
                <c:pt idx="108">
                  <c:v>17.307 to 17.308</c:v>
                </c:pt>
                <c:pt idx="109">
                  <c:v>17.308 to 17.309</c:v>
                </c:pt>
                <c:pt idx="110">
                  <c:v>17.309 to 17.310</c:v>
                </c:pt>
                <c:pt idx="111">
                  <c:v>17.310 to 17.311</c:v>
                </c:pt>
                <c:pt idx="112">
                  <c:v>17.311 to 17.312</c:v>
                </c:pt>
                <c:pt idx="113">
                  <c:v>17.312 to 17.313</c:v>
                </c:pt>
                <c:pt idx="114">
                  <c:v>17.313 to 17.314</c:v>
                </c:pt>
                <c:pt idx="115">
                  <c:v>17.314 to 17.315</c:v>
                </c:pt>
                <c:pt idx="116">
                  <c:v>17.315 to 17.316</c:v>
                </c:pt>
                <c:pt idx="117">
                  <c:v>17.316 to 17.317</c:v>
                </c:pt>
                <c:pt idx="118">
                  <c:v>17.317 to 17.318</c:v>
                </c:pt>
                <c:pt idx="119">
                  <c:v>17.318 to 17.319</c:v>
                </c:pt>
                <c:pt idx="120">
                  <c:v>17.319 to 17.320</c:v>
                </c:pt>
                <c:pt idx="121">
                  <c:v>17.320 to 17.321</c:v>
                </c:pt>
                <c:pt idx="122">
                  <c:v>17.321 to 17.322</c:v>
                </c:pt>
                <c:pt idx="123">
                  <c:v>17.322 to 17.323</c:v>
                </c:pt>
                <c:pt idx="124">
                  <c:v>17.323 to 17.324</c:v>
                </c:pt>
                <c:pt idx="125">
                  <c:v>17.324 to 17.325</c:v>
                </c:pt>
                <c:pt idx="126">
                  <c:v>17.325 to 17.326</c:v>
                </c:pt>
                <c:pt idx="127">
                  <c:v>17.326 to 17.327</c:v>
                </c:pt>
                <c:pt idx="128">
                  <c:v>17.327 to 17.328</c:v>
                </c:pt>
                <c:pt idx="129">
                  <c:v>17.328 to 17.329</c:v>
                </c:pt>
                <c:pt idx="130">
                  <c:v>17.329 to 17.330</c:v>
                </c:pt>
                <c:pt idx="131">
                  <c:v>17.330 to 17.331</c:v>
                </c:pt>
                <c:pt idx="132">
                  <c:v>17.331 to 17.332</c:v>
                </c:pt>
                <c:pt idx="133">
                  <c:v>17.332 to 17.333</c:v>
                </c:pt>
                <c:pt idx="134">
                  <c:v>17.333 to 17.334</c:v>
                </c:pt>
                <c:pt idx="135">
                  <c:v>17.334 to 17.335</c:v>
                </c:pt>
                <c:pt idx="136">
                  <c:v>17.335 to 17.336</c:v>
                </c:pt>
                <c:pt idx="137">
                  <c:v>17.336 to 17.337</c:v>
                </c:pt>
                <c:pt idx="138">
                  <c:v>17.337 to 17.338</c:v>
                </c:pt>
                <c:pt idx="139">
                  <c:v>17.338 to 17.339</c:v>
                </c:pt>
                <c:pt idx="140">
                  <c:v>17.339 to 17.340</c:v>
                </c:pt>
                <c:pt idx="141">
                  <c:v>17.340 to 17.341</c:v>
                </c:pt>
                <c:pt idx="142">
                  <c:v>17.341 to 17.342</c:v>
                </c:pt>
                <c:pt idx="143">
                  <c:v>17.342 to 17.343</c:v>
                </c:pt>
                <c:pt idx="144">
                  <c:v>17.343 to 17.344</c:v>
                </c:pt>
                <c:pt idx="145">
                  <c:v>17.344 to 17.345</c:v>
                </c:pt>
                <c:pt idx="146">
                  <c:v>17.345 to 17.346</c:v>
                </c:pt>
                <c:pt idx="147">
                  <c:v>17.346 to 17.347</c:v>
                </c:pt>
                <c:pt idx="148">
                  <c:v>17.347 to 17.348</c:v>
                </c:pt>
                <c:pt idx="149">
                  <c:v>17.348 to 17.349</c:v>
                </c:pt>
              </c:strCache>
            </c:strRef>
          </c:cat>
          <c:val>
            <c:numRef>
              <c:f>Formule!$H$192:$H$341</c:f>
              <c:numCache>
                <c:formatCode>General</c:formatCode>
                <c:ptCount val="150"/>
                <c:pt idx="0">
                  <c:v>1.0155582022650148E-4</c:v>
                </c:pt>
                <c:pt idx="1">
                  <c:v>2.4490555922913399E-4</c:v>
                </c:pt>
                <c:pt idx="2">
                  <c:v>5.7323586703861978E-4</c:v>
                </c:pt>
                <c:pt idx="3">
                  <c:v>1.3022937492690122E-3</c:v>
                </c:pt>
                <c:pt idx="4">
                  <c:v>2.8716099087034031E-3</c:v>
                </c:pt>
                <c:pt idx="5">
                  <c:v>6.1458621891807364E-3</c:v>
                </c:pt>
                <c:pt idx="6">
                  <c:v>1.2766771323421728E-2</c:v>
                </c:pt>
                <c:pt idx="7">
                  <c:v>2.574069261421039E-2</c:v>
                </c:pt>
                <c:pt idx="8">
                  <c:v>5.0373283985044849E-2</c:v>
                </c:pt>
                <c:pt idx="9">
                  <c:v>9.5680004771859339E-2</c:v>
                </c:pt>
                <c:pt idx="10">
                  <c:v>0.17639367122120206</c:v>
                </c:pt>
                <c:pt idx="11">
                  <c:v>0.31563539405488572</c:v>
                </c:pt>
                <c:pt idx="12">
                  <c:v>0.54818769477442164</c:v>
                </c:pt>
                <c:pt idx="13">
                  <c:v>0.9240889036737886</c:v>
                </c:pt>
                <c:pt idx="14">
                  <c:v>1.5119558694291784</c:v>
                </c:pt>
                <c:pt idx="15">
                  <c:v>2.4010729908996877</c:v>
                </c:pt>
                <c:pt idx="16">
                  <c:v>3.70094385753338</c:v>
                </c:pt>
                <c:pt idx="17">
                  <c:v>5.5368214506616003</c:v>
                </c:pt>
                <c:pt idx="18">
                  <c:v>8.039877429161006</c:v>
                </c:pt>
                <c:pt idx="19">
                  <c:v>11.331286598387232</c:v>
                </c:pt>
                <c:pt idx="20">
                  <c:v>15.500649914837542</c:v>
                </c:pt>
                <c:pt idx="21">
                  <c:v>20.580763336824088</c:v>
                </c:pt>
                <c:pt idx="22">
                  <c:v>26.522468164168988</c:v>
                </c:pt>
                <c:pt idx="23">
                  <c:v>33.174721235810509</c:v>
                </c:pt>
                <c:pt idx="24">
                  <c:v>40.27555325460586</c:v>
                </c:pt>
                <c:pt idx="25">
                  <c:v>47.458787111480007</c:v>
                </c:pt>
                <c:pt idx="26">
                  <c:v>54.279100516966857</c:v>
                </c:pt>
                <c:pt idx="27">
                  <c:v>60.254506899192968</c:v>
                </c:pt>
                <c:pt idx="28">
                  <c:v>64.921316569845359</c:v>
                </c:pt>
                <c:pt idx="29">
                  <c:v>67.893154492040466</c:v>
                </c:pt>
                <c:pt idx="30">
                  <c:v>68.913696190733262</c:v>
                </c:pt>
                <c:pt idx="31">
                  <c:v>67.893154492033275</c:v>
                </c:pt>
                <c:pt idx="32">
                  <c:v>64.921316569831603</c:v>
                </c:pt>
                <c:pt idx="33">
                  <c:v>60.254506899192968</c:v>
                </c:pt>
                <c:pt idx="34">
                  <c:v>54.279100516943835</c:v>
                </c:pt>
                <c:pt idx="35">
                  <c:v>47.458787111454853</c:v>
                </c:pt>
                <c:pt idx="36">
                  <c:v>40.27555325460586</c:v>
                </c:pt>
                <c:pt idx="37">
                  <c:v>33.174721235785888</c:v>
                </c:pt>
                <c:pt idx="38">
                  <c:v>26.522468164146488</c:v>
                </c:pt>
                <c:pt idx="39">
                  <c:v>20.580763336824088</c:v>
                </c:pt>
                <c:pt idx="40">
                  <c:v>15.500649914821105</c:v>
                </c:pt>
                <c:pt idx="41">
                  <c:v>11.331286598374016</c:v>
                </c:pt>
                <c:pt idx="42">
                  <c:v>8.039877429161006</c:v>
                </c:pt>
                <c:pt idx="43">
                  <c:v>5.5368214506539681</c:v>
                </c:pt>
                <c:pt idx="44">
                  <c:v>3.7009438575278852</c:v>
                </c:pt>
                <c:pt idx="45">
                  <c:v>2.4010729908996877</c:v>
                </c:pt>
                <c:pt idx="46">
                  <c:v>1.5119558694266133</c:v>
                </c:pt>
                <c:pt idx="47">
                  <c:v>0.9240889036737886</c:v>
                </c:pt>
                <c:pt idx="48">
                  <c:v>0.54818769477337526</c:v>
                </c:pt>
                <c:pt idx="49">
                  <c:v>0.31563539405424995</c:v>
                </c:pt>
                <c:pt idx="50">
                  <c:v>0.17639367122120206</c:v>
                </c:pt>
                <c:pt idx="51">
                  <c:v>9.5680004771646288E-2</c:v>
                </c:pt>
                <c:pt idx="52">
                  <c:v>5.0373283984927367E-2</c:v>
                </c:pt>
                <c:pt idx="53">
                  <c:v>2.574069261421039E-2</c:v>
                </c:pt>
                <c:pt idx="54">
                  <c:v>1.2766771323389228E-2</c:v>
                </c:pt>
                <c:pt idx="55">
                  <c:v>6.1458621891644482E-3</c:v>
                </c:pt>
                <c:pt idx="56">
                  <c:v>2.8716099087034031E-3</c:v>
                </c:pt>
                <c:pt idx="57">
                  <c:v>1.302293749265283E-3</c:v>
                </c:pt>
                <c:pt idx="58">
                  <c:v>5.7323586703691824E-4</c:v>
                </c:pt>
                <c:pt idx="59">
                  <c:v>2.4490555922913399E-4</c:v>
                </c:pt>
                <c:pt idx="60">
                  <c:v>1.015558202261784E-4</c:v>
                </c:pt>
                <c:pt idx="61">
                  <c:v>4.087444606042267E-5</c:v>
                </c:pt>
                <c:pt idx="62">
                  <c:v>1.5967606785672043E-5</c:v>
                </c:pt>
                <c:pt idx="63">
                  <c:v>6.054365919501195E-6</c:v>
                </c:pt>
                <c:pt idx="64">
                  <c:v>2.2281190380549417E-6</c:v>
                </c:pt>
                <c:pt idx="65">
                  <c:v>7.9588258249408035E-7</c:v>
                </c:pt>
                <c:pt idx="66">
                  <c:v>2.7593100248193696E-7</c:v>
                </c:pt>
                <c:pt idx="67">
                  <c:v>9.2852346702318997E-8</c:v>
                </c:pt>
                <c:pt idx="68">
                  <c:v>3.0326769974672825E-8</c:v>
                </c:pt>
                <c:pt idx="69">
                  <c:v>9.6139158691700709E-9</c:v>
                </c:pt>
                <c:pt idx="70">
                  <c:v>2.9581171186892022E-9</c:v>
                </c:pt>
                <c:pt idx="71">
                  <c:v>8.8342828360309763E-10</c:v>
                </c:pt>
                <c:pt idx="72">
                  <c:v>2.5607555423543278E-10</c:v>
                </c:pt>
                <c:pt idx="73">
                  <c:v>7.2045329272917526E-11</c:v>
                </c:pt>
                <c:pt idx="74">
                  <c:v>1.9673626724307909E-11</c:v>
                </c:pt>
                <c:pt idx="75">
                  <c:v>5.2143948100849589E-12</c:v>
                </c:pt>
                <c:pt idx="76">
                  <c:v>1.3414184702217996E-12</c:v>
                </c:pt>
                <c:pt idx="77">
                  <c:v>3.3493886187863972E-13</c:v>
                </c:pt>
                <c:pt idx="78">
                  <c:v>8.1172268988261306E-14</c:v>
                </c:pt>
                <c:pt idx="79">
                  <c:v>1.9093727438307078E-14</c:v>
                </c:pt>
                <c:pt idx="80">
                  <c:v>4.3592787344198996E-15</c:v>
                </c:pt>
                <c:pt idx="81">
                  <c:v>9.6600516022203296E-16</c:v>
                </c:pt>
                <c:pt idx="82">
                  <c:v>2.0777110095224008E-16</c:v>
                </c:pt>
                <c:pt idx="83">
                  <c:v>4.3374224504915746E-17</c:v>
                </c:pt>
                <c:pt idx="84">
                  <c:v>8.7885897532487291E-18</c:v>
                </c:pt>
                <c:pt idx="85">
                  <c:v>1.7284130983665285E-18</c:v>
                </c:pt>
                <c:pt idx="86">
                  <c:v>3.2992619064571984E-19</c:v>
                </c:pt>
                <c:pt idx="87">
                  <c:v>6.1126133240367036E-20</c:v>
                </c:pt>
                <c:pt idx="88">
                  <c:v>1.0992030939238654E-20</c:v>
                </c:pt>
                <c:pt idx="89">
                  <c:v>1.9185355358060575E-21</c:v>
                </c:pt>
                <c:pt idx="90">
                  <c:v>3.2501442809965383E-22</c:v>
                </c:pt>
                <c:pt idx="91">
                  <c:v>5.3441214693078247E-23</c:v>
                </c:pt>
                <c:pt idx="92">
                  <c:v>8.5288580905024227E-24</c:v>
                </c:pt>
                <c:pt idx="93">
                  <c:v>1.3211323987575977E-24</c:v>
                </c:pt>
                <c:pt idx="94">
                  <c:v>1.986290132549398E-25</c:v>
                </c:pt>
                <c:pt idx="95">
                  <c:v>2.8985441138847899E-26</c:v>
                </c:pt>
                <c:pt idx="96">
                  <c:v>4.1054241338660593E-27</c:v>
                </c:pt>
                <c:pt idx="97">
                  <c:v>5.6438704304926408E-28</c:v>
                </c:pt>
                <c:pt idx="98">
                  <c:v>7.5307273799513682E-29</c:v>
                </c:pt>
                <c:pt idx="99">
                  <c:v>9.7529883260639062E-30</c:v>
                </c:pt>
                <c:pt idx="100">
                  <c:v>1.22596866510839E-30</c:v>
                </c:pt>
                <c:pt idx="101">
                  <c:v>1.49576002752313E-31</c:v>
                </c:pt>
                <c:pt idx="102">
                  <c:v>1.7712724316123631E-32</c:v>
                </c:pt>
                <c:pt idx="103">
                  <c:v>2.0358683498170469E-33</c:v>
                </c:pt>
                <c:pt idx="104">
                  <c:v>2.2711975212770432E-34</c:v>
                </c:pt>
                <c:pt idx="105">
                  <c:v>2.4592405294804993E-35</c:v>
                </c:pt>
                <c:pt idx="106">
                  <c:v>2.5845682022930378E-36</c:v>
                </c:pt>
                <c:pt idx="107">
                  <c:v>2.6364277460039649E-37</c:v>
                </c:pt>
                <c:pt idx="108">
                  <c:v>2.6102652241805292E-38</c:v>
                </c:pt>
                <c:pt idx="109">
                  <c:v>2.5083855402848278E-39</c:v>
                </c:pt>
                <c:pt idx="110">
                  <c:v>2.3396173161502885E-40</c:v>
                </c:pt>
                <c:pt idx="111">
                  <c:v>2.1180502176915744E-41</c:v>
                </c:pt>
                <c:pt idx="112">
                  <c:v>1.8610951002343056E-42</c:v>
                </c:pt>
                <c:pt idx="113">
                  <c:v>1.5872369534549201E-43</c:v>
                </c:pt>
                <c:pt idx="114">
                  <c:v>1.3138804590570981E-44</c:v>
                </c:pt>
                <c:pt idx="115">
                  <c:v>1.0556278231180918E-45</c:v>
                </c:pt>
                <c:pt idx="116">
                  <c:v>8.2320251856001061E-47</c:v>
                </c:pt>
                <c:pt idx="117">
                  <c:v>6.2307946716667434E-48</c:v>
                </c:pt>
                <c:pt idx="118">
                  <c:v>4.5774233058401006E-49</c:v>
                </c:pt>
                <c:pt idx="119">
                  <c:v>3.2639207134203276E-50</c:v>
                </c:pt>
                <c:pt idx="120">
                  <c:v>2.2589104348349129E-51</c:v>
                </c:pt>
                <c:pt idx="121">
                  <c:v>1.5173973108985312E-52</c:v>
                </c:pt>
                <c:pt idx="122">
                  <c:v>9.893284445746345E-54</c:v>
                </c:pt>
                <c:pt idx="123">
                  <c:v>6.2606953160676489E-55</c:v>
                </c:pt>
                <c:pt idx="124">
                  <c:v>3.8454354812938117E-56</c:v>
                </c:pt>
                <c:pt idx="125">
                  <c:v>2.2925001710052715E-57</c:v>
                </c:pt>
                <c:pt idx="126">
                  <c:v>1.3265209448879207E-58</c:v>
                </c:pt>
                <c:pt idx="127">
                  <c:v>7.4500593707091033E-60</c:v>
                </c:pt>
                <c:pt idx="128">
                  <c:v>4.0611239339914968E-61</c:v>
                </c:pt>
                <c:pt idx="129">
                  <c:v>2.148689392367888E-62</c:v>
                </c:pt>
                <c:pt idx="130">
                  <c:v>1.1034227243874042E-63</c:v>
                </c:pt>
                <c:pt idx="131">
                  <c:v>5.4998531668061189E-65</c:v>
                </c:pt>
                <c:pt idx="132">
                  <c:v>2.6607321268844973E-66</c:v>
                </c:pt>
                <c:pt idx="133">
                  <c:v>1.2493729512645253E-67</c:v>
                </c:pt>
                <c:pt idx="134">
                  <c:v>5.6940848224021665E-69</c:v>
                </c:pt>
                <c:pt idx="135">
                  <c:v>2.5188172141492571E-70</c:v>
                </c:pt>
                <c:pt idx="136">
                  <c:v>1.0814595007489577E-71</c:v>
                </c:pt>
                <c:pt idx="137">
                  <c:v>4.5067633637454017E-73</c:v>
                </c:pt>
                <c:pt idx="138">
                  <c:v>1.8228886353625937E-74</c:v>
                </c:pt>
                <c:pt idx="139">
                  <c:v>7.1564296571365126E-76</c:v>
                </c:pt>
                <c:pt idx="140">
                  <c:v>2.7269273235123452E-77</c:v>
                </c:pt>
                <c:pt idx="141">
                  <c:v>1.008536470088314E-78</c:v>
                </c:pt>
                <c:pt idx="142">
                  <c:v>3.6203498374031751E-80</c:v>
                </c:pt>
                <c:pt idx="143">
                  <c:v>1.2613928279522193E-81</c:v>
                </c:pt>
                <c:pt idx="144">
                  <c:v>4.2657074081486721E-83</c:v>
                </c:pt>
                <c:pt idx="145">
                  <c:v>1.4001438471564498E-84</c:v>
                </c:pt>
                <c:pt idx="146">
                  <c:v>4.4606190689116276E-86</c:v>
                </c:pt>
                <c:pt idx="147">
                  <c:v>1.3792992634292932E-87</c:v>
                </c:pt>
                <c:pt idx="148">
                  <c:v>4.1396417583423977E-89</c:v>
                </c:pt>
                <c:pt idx="149">
                  <c:v>1.2058905766717004E-90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1-5D05-41F2-AC31-38B990C553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35168"/>
        <c:axId val="33336704"/>
      </c:lineChart>
      <c:catAx>
        <c:axId val="33327744"/>
        <c:scaling>
          <c:orientation val="minMax"/>
        </c:scaling>
        <c:delete val="0"/>
        <c:axPos val="b"/>
        <c:majorGridlines/>
        <c:minorGridlines/>
        <c:numFmt formatCode="#,##0.00" sourceLinked="0"/>
        <c:majorTickMark val="in"/>
        <c:minorTickMark val="cross"/>
        <c:tickLblPos val="low"/>
        <c:txPr>
          <a:bodyPr rot="0" vert="horz"/>
          <a:lstStyle/>
          <a:p>
            <a:pPr>
              <a:defRPr/>
            </a:pPr>
            <a:endParaRPr lang="en-US"/>
          </a:p>
        </c:txPr>
        <c:crossAx val="33333632"/>
        <c:crosses val="autoZero"/>
        <c:auto val="1"/>
        <c:lblAlgn val="ctr"/>
        <c:lblOffset val="1"/>
        <c:tickMarkSkip val="10"/>
        <c:noMultiLvlLbl val="0"/>
      </c:catAx>
      <c:valAx>
        <c:axId val="33333632"/>
        <c:scaling>
          <c:orientation val="minMax"/>
          <c:min val="0"/>
        </c:scaling>
        <c:delete val="0"/>
        <c:axPos val="l"/>
        <c:numFmt formatCode="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4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3327744"/>
        <c:crossesAt val="1"/>
        <c:crossBetween val="between"/>
      </c:valAx>
      <c:catAx>
        <c:axId val="333351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33336704"/>
        <c:crosses val="autoZero"/>
        <c:auto val="0"/>
        <c:lblAlgn val="ctr"/>
        <c:lblOffset val="100"/>
        <c:noMultiLvlLbl val="0"/>
      </c:catAx>
      <c:valAx>
        <c:axId val="33336704"/>
        <c:scaling>
          <c:orientation val="minMax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9525">
            <a:noFill/>
          </a:ln>
        </c:spPr>
        <c:crossAx val="33335168"/>
        <c:crosses val="max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5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591072829006448"/>
          <c:y val="3.4605383968064271E-2"/>
          <c:w val="0.88098214762878069"/>
          <c:h val="0.87751244427532393"/>
        </c:manualLayout>
      </c:layout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xVal>
            <c:numRef>
              <c:f>Formule!$B$2:$B$51</c:f>
              <c:numCache>
                <c:formatCode>0.000</c:formatCode>
                <c:ptCount val="50"/>
                <c:pt idx="0">
                  <c:v>17.223772299417032</c:v>
                </c:pt>
                <c:pt idx="1">
                  <c:v>17.236359515325198</c:v>
                </c:pt>
                <c:pt idx="2">
                  <c:v>17.222663910821439</c:v>
                </c:pt>
                <c:pt idx="3">
                  <c:v>17.222663910821439</c:v>
                </c:pt>
                <c:pt idx="4">
                  <c:v>17.222663910821439</c:v>
                </c:pt>
                <c:pt idx="5">
                  <c:v>17.236359515325198</c:v>
                </c:pt>
                <c:pt idx="6">
                  <c:v>17.232445480875615</c:v>
                </c:pt>
                <c:pt idx="7">
                  <c:v>17.222663910821439</c:v>
                </c:pt>
                <c:pt idx="8">
                  <c:v>17.236359515325198</c:v>
                </c:pt>
                <c:pt idx="9">
                  <c:v>17.236359515325198</c:v>
                </c:pt>
                <c:pt idx="10">
                  <c:v>17.232445480875615</c:v>
                </c:pt>
                <c:pt idx="11">
                  <c:v>17.222663910821439</c:v>
                </c:pt>
                <c:pt idx="12">
                  <c:v>17.223772299417032</c:v>
                </c:pt>
                <c:pt idx="13">
                  <c:v>17.223772299417032</c:v>
                </c:pt>
                <c:pt idx="14">
                  <c:v>17.223772299417032</c:v>
                </c:pt>
                <c:pt idx="15">
                  <c:v>17.223772299417032</c:v>
                </c:pt>
                <c:pt idx="16">
                  <c:v>17.222663910821439</c:v>
                </c:pt>
                <c:pt idx="17">
                  <c:v>17.232445480875615</c:v>
                </c:pt>
                <c:pt idx="18">
                  <c:v>17.232445480875615</c:v>
                </c:pt>
                <c:pt idx="19">
                  <c:v>17.236359515325198</c:v>
                </c:pt>
                <c:pt idx="20">
                  <c:v>17.223772299417032</c:v>
                </c:pt>
                <c:pt idx="21">
                  <c:v>17.222663910821439</c:v>
                </c:pt>
                <c:pt idx="22">
                  <c:v>17.236359515325198</c:v>
                </c:pt>
                <c:pt idx="23">
                  <c:v>17.223772299417032</c:v>
                </c:pt>
                <c:pt idx="24">
                  <c:v>17.232445480875615</c:v>
                </c:pt>
                <c:pt idx="25">
                  <c:v>17.232445480875615</c:v>
                </c:pt>
                <c:pt idx="26">
                  <c:v>17.236359515325198</c:v>
                </c:pt>
                <c:pt idx="27">
                  <c:v>17.223772299417032</c:v>
                </c:pt>
                <c:pt idx="28">
                  <c:v>17.232445480875615</c:v>
                </c:pt>
                <c:pt idx="29">
                  <c:v>17.222663910821439</c:v>
                </c:pt>
                <c:pt idx="30">
                  <c:v>17.236359515325198</c:v>
                </c:pt>
                <c:pt idx="31">
                  <c:v>17.223772299417032</c:v>
                </c:pt>
                <c:pt idx="32">
                  <c:v>17.232445480875615</c:v>
                </c:pt>
                <c:pt idx="33">
                  <c:v>17.222663910821439</c:v>
                </c:pt>
                <c:pt idx="34">
                  <c:v>17.236359515325198</c:v>
                </c:pt>
                <c:pt idx="35">
                  <c:v>17.223772299417032</c:v>
                </c:pt>
                <c:pt idx="36">
                  <c:v>17.232445480875615</c:v>
                </c:pt>
                <c:pt idx="37">
                  <c:v>17.222663910821439</c:v>
                </c:pt>
                <c:pt idx="38">
                  <c:v>17.236359515325198</c:v>
                </c:pt>
                <c:pt idx="39">
                  <c:v>17.223772299417032</c:v>
                </c:pt>
                <c:pt idx="40">
                  <c:v>17.232445480875615</c:v>
                </c:pt>
                <c:pt idx="41">
                  <c:v>17.222663910821439</c:v>
                </c:pt>
                <c:pt idx="42">
                  <c:v>17.236359515325198</c:v>
                </c:pt>
                <c:pt idx="43">
                  <c:v>17.223772299417032</c:v>
                </c:pt>
                <c:pt idx="44">
                  <c:v>17.232445480875615</c:v>
                </c:pt>
                <c:pt idx="45">
                  <c:v>17.222663910821439</c:v>
                </c:pt>
                <c:pt idx="46">
                  <c:v>17.236359515325198</c:v>
                </c:pt>
                <c:pt idx="47">
                  <c:v>17.223772299417032</c:v>
                </c:pt>
                <c:pt idx="48">
                  <c:v>17.232445480875615</c:v>
                </c:pt>
                <c:pt idx="49">
                  <c:v>0</c:v>
                </c:pt>
              </c:numCache>
            </c:numRef>
          </c:xVal>
          <c:yVal>
            <c:numRef>
              <c:f>Formule!$F$2:$F$51</c:f>
              <c:numCache>
                <c:formatCode>0.000</c:formatCode>
                <c:ptCount val="50"/>
                <c:pt idx="0">
                  <c:v>19.913922089758433</c:v>
                </c:pt>
                <c:pt idx="1">
                  <c:v>90.817967389589455</c:v>
                </c:pt>
                <c:pt idx="2">
                  <c:v>15.006281265045684</c:v>
                </c:pt>
                <c:pt idx="3">
                  <c:v>15.006281265045684</c:v>
                </c:pt>
                <c:pt idx="4">
                  <c:v>15.006281265045684</c:v>
                </c:pt>
                <c:pt idx="5">
                  <c:v>90.817967389589455</c:v>
                </c:pt>
                <c:pt idx="6">
                  <c:v>74.3287630593572</c:v>
                </c:pt>
                <c:pt idx="7">
                  <c:v>15.006281265045684</c:v>
                </c:pt>
                <c:pt idx="8">
                  <c:v>90.817967389589455</c:v>
                </c:pt>
                <c:pt idx="9">
                  <c:v>90.817967389589455</c:v>
                </c:pt>
                <c:pt idx="10">
                  <c:v>74.3287630593572</c:v>
                </c:pt>
                <c:pt idx="11">
                  <c:v>15.006281265045684</c:v>
                </c:pt>
                <c:pt idx="12">
                  <c:v>19.913922089758433</c:v>
                </c:pt>
                <c:pt idx="13">
                  <c:v>19.913922089758433</c:v>
                </c:pt>
                <c:pt idx="14">
                  <c:v>19.913922089758433</c:v>
                </c:pt>
                <c:pt idx="15">
                  <c:v>19.913922089758433</c:v>
                </c:pt>
                <c:pt idx="16">
                  <c:v>15.006281265045684</c:v>
                </c:pt>
                <c:pt idx="17">
                  <c:v>74.3287630593572</c:v>
                </c:pt>
                <c:pt idx="18">
                  <c:v>74.3287630593572</c:v>
                </c:pt>
                <c:pt idx="19">
                  <c:v>90.817967389589455</c:v>
                </c:pt>
                <c:pt idx="20">
                  <c:v>19.913922089758433</c:v>
                </c:pt>
                <c:pt idx="21">
                  <c:v>15.006281265045684</c:v>
                </c:pt>
                <c:pt idx="22">
                  <c:v>90.817967389589455</c:v>
                </c:pt>
                <c:pt idx="23">
                  <c:v>19.913922089758433</c:v>
                </c:pt>
                <c:pt idx="24">
                  <c:v>74.3287630593572</c:v>
                </c:pt>
                <c:pt idx="25">
                  <c:v>74.3287630593572</c:v>
                </c:pt>
                <c:pt idx="26">
                  <c:v>90.817967389589455</c:v>
                </c:pt>
                <c:pt idx="27">
                  <c:v>19.913922089758433</c:v>
                </c:pt>
                <c:pt idx="28">
                  <c:v>74.3287630593572</c:v>
                </c:pt>
                <c:pt idx="29">
                  <c:v>15.006281265045684</c:v>
                </c:pt>
                <c:pt idx="30">
                  <c:v>90.817967389589455</c:v>
                </c:pt>
                <c:pt idx="31">
                  <c:v>19.913922089758433</c:v>
                </c:pt>
                <c:pt idx="32">
                  <c:v>74.3287630593572</c:v>
                </c:pt>
                <c:pt idx="33">
                  <c:v>15.006281265045684</c:v>
                </c:pt>
                <c:pt idx="34">
                  <c:v>90.817967389589455</c:v>
                </c:pt>
                <c:pt idx="35">
                  <c:v>19.913922089758433</c:v>
                </c:pt>
                <c:pt idx="36">
                  <c:v>74.3287630593572</c:v>
                </c:pt>
                <c:pt idx="37">
                  <c:v>15.006281265045684</c:v>
                </c:pt>
                <c:pt idx="38">
                  <c:v>90.817967389589455</c:v>
                </c:pt>
                <c:pt idx="39">
                  <c:v>19.913922089758433</c:v>
                </c:pt>
                <c:pt idx="40">
                  <c:v>74.3287630593572</c:v>
                </c:pt>
                <c:pt idx="41">
                  <c:v>15.006281265045684</c:v>
                </c:pt>
                <c:pt idx="42">
                  <c:v>90.817967389589455</c:v>
                </c:pt>
                <c:pt idx="43">
                  <c:v>19.913922089758433</c:v>
                </c:pt>
                <c:pt idx="44">
                  <c:v>74.3287630593572</c:v>
                </c:pt>
                <c:pt idx="45">
                  <c:v>15.006281265045684</c:v>
                </c:pt>
                <c:pt idx="46">
                  <c:v>90.817967389589455</c:v>
                </c:pt>
                <c:pt idx="47">
                  <c:v>19.913922089758433</c:v>
                </c:pt>
                <c:pt idx="48">
                  <c:v>74.3287630593572</c:v>
                </c:pt>
                <c:pt idx="4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D26-42A8-B38F-91BFD55EB0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652864"/>
        <c:axId val="51658752"/>
      </c:scatterChart>
      <c:valAx>
        <c:axId val="51652864"/>
        <c:scaling>
          <c:orientation val="minMax"/>
        </c:scaling>
        <c:delete val="0"/>
        <c:axPos val="b"/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58752"/>
        <c:crosses val="autoZero"/>
        <c:crossBetween val="midCat"/>
      </c:valAx>
      <c:valAx>
        <c:axId val="51658752"/>
        <c:scaling>
          <c:orientation val="minMax"/>
        </c:scaling>
        <c:delete val="0"/>
        <c:axPos val="l"/>
        <c:numFmt formatCode="0.000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652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hr-HR"/>
              <a:t>Kolmogorov-Smirnov</a:t>
            </a:r>
          </a:p>
        </c:rich>
      </c:tx>
      <c:layout>
        <c:manualLayout>
          <c:xMode val="edge"/>
          <c:yMode val="edge"/>
          <c:x val="0.37431192660550461"/>
          <c:y val="3.58422939068100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3394495412844041E-2"/>
          <c:y val="0.14695391938955879"/>
          <c:w val="0.69357798165137619"/>
          <c:h val="0.59856840336722728"/>
        </c:manualLayout>
      </c:layout>
      <c:scatterChart>
        <c:scatterStyle val="smoothMarker"/>
        <c:varyColors val="0"/>
        <c:ser>
          <c:idx val="0"/>
          <c:order val="0"/>
          <c:tx>
            <c:strRef>
              <c:f>Formule!$D$1</c:f>
              <c:strCache>
                <c:ptCount val="1"/>
                <c:pt idx="0">
                  <c:v>Obs Cum Freq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xVal>
            <c:numRef>
              <c:f>Formule!$C$2:$C$51</c:f>
              <c:numCache>
                <c:formatCode>0.000</c:formatCode>
                <c:ptCount val="50"/>
                <c:pt idx="0">
                  <c:v>-0.84469985260820879</c:v>
                </c:pt>
                <c:pt idx="1">
                  <c:v>1.3296286545373965</c:v>
                </c:pt>
                <c:pt idx="2">
                  <c:v>-1.0361640284813074</c:v>
                </c:pt>
                <c:pt idx="3">
                  <c:v>-1.0361640284813074</c:v>
                </c:pt>
                <c:pt idx="4">
                  <c:v>-1.0361640284813074</c:v>
                </c:pt>
                <c:pt idx="5">
                  <c:v>1.3296286545373965</c:v>
                </c:pt>
                <c:pt idx="6">
                  <c:v>0.65351435382403833</c:v>
                </c:pt>
                <c:pt idx="7">
                  <c:v>-1.0361640284813074</c:v>
                </c:pt>
                <c:pt idx="8">
                  <c:v>1.3296286545373965</c:v>
                </c:pt>
                <c:pt idx="9">
                  <c:v>1.3296286545373965</c:v>
                </c:pt>
                <c:pt idx="10">
                  <c:v>0.65351435382403833</c:v>
                </c:pt>
                <c:pt idx="11">
                  <c:v>-1.0361640284813074</c:v>
                </c:pt>
                <c:pt idx="12">
                  <c:v>-0.84469985260820879</c:v>
                </c:pt>
                <c:pt idx="13">
                  <c:v>-0.84469985260820879</c:v>
                </c:pt>
                <c:pt idx="14">
                  <c:v>-0.84469985260820879</c:v>
                </c:pt>
                <c:pt idx="15">
                  <c:v>-0.84469985260820879</c:v>
                </c:pt>
                <c:pt idx="16">
                  <c:v>-1.0361640284813074</c:v>
                </c:pt>
                <c:pt idx="17">
                  <c:v>0.65351435382403833</c:v>
                </c:pt>
                <c:pt idx="18">
                  <c:v>0.65351435382403833</c:v>
                </c:pt>
                <c:pt idx="19">
                  <c:v>1.3296286545373965</c:v>
                </c:pt>
                <c:pt idx="20">
                  <c:v>-0.84469985260820879</c:v>
                </c:pt>
                <c:pt idx="21">
                  <c:v>-1.0361640284813074</c:v>
                </c:pt>
                <c:pt idx="22">
                  <c:v>1.3296286545373965</c:v>
                </c:pt>
                <c:pt idx="23">
                  <c:v>-0.84469985260820879</c:v>
                </c:pt>
                <c:pt idx="24">
                  <c:v>0.65351435382403833</c:v>
                </c:pt>
                <c:pt idx="25">
                  <c:v>0.65351435382403833</c:v>
                </c:pt>
                <c:pt idx="26">
                  <c:v>1.3296286545373965</c:v>
                </c:pt>
                <c:pt idx="27">
                  <c:v>-0.84469985260820879</c:v>
                </c:pt>
                <c:pt idx="28">
                  <c:v>0.65351435382403833</c:v>
                </c:pt>
                <c:pt idx="29">
                  <c:v>-1.0361640284813074</c:v>
                </c:pt>
                <c:pt idx="30">
                  <c:v>1.3296286545373965</c:v>
                </c:pt>
                <c:pt idx="31">
                  <c:v>-0.84469985260820879</c:v>
                </c:pt>
                <c:pt idx="32">
                  <c:v>0.65351435382403833</c:v>
                </c:pt>
                <c:pt idx="33">
                  <c:v>-1.0361640284813074</c:v>
                </c:pt>
                <c:pt idx="34">
                  <c:v>1.3296286545373965</c:v>
                </c:pt>
                <c:pt idx="35">
                  <c:v>-0.84469985260820879</c:v>
                </c:pt>
                <c:pt idx="36">
                  <c:v>0.65351435382403833</c:v>
                </c:pt>
                <c:pt idx="37">
                  <c:v>-1.0361640284813074</c:v>
                </c:pt>
                <c:pt idx="38">
                  <c:v>1.3296286545373965</c:v>
                </c:pt>
                <c:pt idx="39">
                  <c:v>-0.84469985260820879</c:v>
                </c:pt>
                <c:pt idx="40">
                  <c:v>0.65351435382403833</c:v>
                </c:pt>
                <c:pt idx="41">
                  <c:v>-1.0361640284813074</c:v>
                </c:pt>
                <c:pt idx="42">
                  <c:v>1.3296286545373965</c:v>
                </c:pt>
                <c:pt idx="43">
                  <c:v>-0.84469985260820879</c:v>
                </c:pt>
                <c:pt idx="44">
                  <c:v>0.65351435382403833</c:v>
                </c:pt>
                <c:pt idx="45">
                  <c:v>-1.0361640284813074</c:v>
                </c:pt>
                <c:pt idx="46">
                  <c:v>1.3296286545373965</c:v>
                </c:pt>
                <c:pt idx="47">
                  <c:v>-0.84469985260820879</c:v>
                </c:pt>
                <c:pt idx="48">
                  <c:v>0.65351435382403833</c:v>
                </c:pt>
                <c:pt idx="49">
                  <c:v>-2976.096684440527</c:v>
                </c:pt>
              </c:numCache>
            </c:numRef>
          </c:xVal>
          <c:yVal>
            <c:numRef>
              <c:f>Formule!$D$2:$D$51</c:f>
              <c:numCache>
                <c:formatCode>General</c:formatCode>
                <c:ptCount val="50"/>
                <c:pt idx="0">
                  <c:v>0.28000000000000003</c:v>
                </c:pt>
                <c:pt idx="1">
                  <c:v>0.78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0.78</c:v>
                </c:pt>
                <c:pt idx="6">
                  <c:v>0.54</c:v>
                </c:pt>
                <c:pt idx="7">
                  <c:v>0.04</c:v>
                </c:pt>
                <c:pt idx="8">
                  <c:v>0.78</c:v>
                </c:pt>
                <c:pt idx="9">
                  <c:v>0.78</c:v>
                </c:pt>
                <c:pt idx="10">
                  <c:v>0.54</c:v>
                </c:pt>
                <c:pt idx="11">
                  <c:v>0.04</c:v>
                </c:pt>
                <c:pt idx="12">
                  <c:v>0.28000000000000003</c:v>
                </c:pt>
                <c:pt idx="13">
                  <c:v>0.28000000000000003</c:v>
                </c:pt>
                <c:pt idx="14">
                  <c:v>0.28000000000000003</c:v>
                </c:pt>
                <c:pt idx="15">
                  <c:v>0.28000000000000003</c:v>
                </c:pt>
                <c:pt idx="16">
                  <c:v>0.04</c:v>
                </c:pt>
                <c:pt idx="17">
                  <c:v>0.54</c:v>
                </c:pt>
                <c:pt idx="18">
                  <c:v>0.54</c:v>
                </c:pt>
                <c:pt idx="19">
                  <c:v>0.78</c:v>
                </c:pt>
                <c:pt idx="20">
                  <c:v>0.28000000000000003</c:v>
                </c:pt>
                <c:pt idx="21">
                  <c:v>0.04</c:v>
                </c:pt>
                <c:pt idx="22">
                  <c:v>0.78</c:v>
                </c:pt>
                <c:pt idx="23">
                  <c:v>0.28000000000000003</c:v>
                </c:pt>
                <c:pt idx="24">
                  <c:v>0.54</c:v>
                </c:pt>
                <c:pt idx="25">
                  <c:v>0.54</c:v>
                </c:pt>
                <c:pt idx="26">
                  <c:v>0.78</c:v>
                </c:pt>
                <c:pt idx="27">
                  <c:v>0.28000000000000003</c:v>
                </c:pt>
                <c:pt idx="28">
                  <c:v>0.54</c:v>
                </c:pt>
                <c:pt idx="29">
                  <c:v>0.04</c:v>
                </c:pt>
                <c:pt idx="30">
                  <c:v>0.78</c:v>
                </c:pt>
                <c:pt idx="31">
                  <c:v>0.28000000000000003</c:v>
                </c:pt>
                <c:pt idx="32">
                  <c:v>0.54</c:v>
                </c:pt>
                <c:pt idx="33">
                  <c:v>0.04</c:v>
                </c:pt>
                <c:pt idx="34">
                  <c:v>0.78</c:v>
                </c:pt>
                <c:pt idx="35">
                  <c:v>0.28000000000000003</c:v>
                </c:pt>
                <c:pt idx="36">
                  <c:v>0.54</c:v>
                </c:pt>
                <c:pt idx="37">
                  <c:v>0.04</c:v>
                </c:pt>
                <c:pt idx="38">
                  <c:v>0.78</c:v>
                </c:pt>
                <c:pt idx="39">
                  <c:v>0.28000000000000003</c:v>
                </c:pt>
                <c:pt idx="40">
                  <c:v>0.54</c:v>
                </c:pt>
                <c:pt idx="41">
                  <c:v>0.04</c:v>
                </c:pt>
                <c:pt idx="42">
                  <c:v>0.78</c:v>
                </c:pt>
                <c:pt idx="43">
                  <c:v>0.28000000000000003</c:v>
                </c:pt>
                <c:pt idx="44">
                  <c:v>0.54</c:v>
                </c:pt>
                <c:pt idx="45">
                  <c:v>0.04</c:v>
                </c:pt>
                <c:pt idx="46">
                  <c:v>0.78</c:v>
                </c:pt>
                <c:pt idx="47">
                  <c:v>0.28000000000000003</c:v>
                </c:pt>
                <c:pt idx="48">
                  <c:v>0.54</c:v>
                </c:pt>
                <c:pt idx="49">
                  <c:v>0.02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880-4252-83CF-44644B3C92A9}"/>
            </c:ext>
          </c:extLst>
        </c:ser>
        <c:ser>
          <c:idx val="1"/>
          <c:order val="1"/>
          <c:tx>
            <c:strRef>
              <c:f>Formule!$E$1</c:f>
              <c:strCache>
                <c:ptCount val="1"/>
                <c:pt idx="0">
                  <c:v>Exp Norm Dist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xVal>
            <c:numRef>
              <c:f>Formule!$C$2:$C$51</c:f>
              <c:numCache>
                <c:formatCode>0.000</c:formatCode>
                <c:ptCount val="50"/>
                <c:pt idx="0">
                  <c:v>-0.84469985260820879</c:v>
                </c:pt>
                <c:pt idx="1">
                  <c:v>1.3296286545373965</c:v>
                </c:pt>
                <c:pt idx="2">
                  <c:v>-1.0361640284813074</c:v>
                </c:pt>
                <c:pt idx="3">
                  <c:v>-1.0361640284813074</c:v>
                </c:pt>
                <c:pt idx="4">
                  <c:v>-1.0361640284813074</c:v>
                </c:pt>
                <c:pt idx="5">
                  <c:v>1.3296286545373965</c:v>
                </c:pt>
                <c:pt idx="6">
                  <c:v>0.65351435382403833</c:v>
                </c:pt>
                <c:pt idx="7">
                  <c:v>-1.0361640284813074</c:v>
                </c:pt>
                <c:pt idx="8">
                  <c:v>1.3296286545373965</c:v>
                </c:pt>
                <c:pt idx="9">
                  <c:v>1.3296286545373965</c:v>
                </c:pt>
                <c:pt idx="10">
                  <c:v>0.65351435382403833</c:v>
                </c:pt>
                <c:pt idx="11">
                  <c:v>-1.0361640284813074</c:v>
                </c:pt>
                <c:pt idx="12">
                  <c:v>-0.84469985260820879</c:v>
                </c:pt>
                <c:pt idx="13">
                  <c:v>-0.84469985260820879</c:v>
                </c:pt>
                <c:pt idx="14">
                  <c:v>-0.84469985260820879</c:v>
                </c:pt>
                <c:pt idx="15">
                  <c:v>-0.84469985260820879</c:v>
                </c:pt>
                <c:pt idx="16">
                  <c:v>-1.0361640284813074</c:v>
                </c:pt>
                <c:pt idx="17">
                  <c:v>0.65351435382403833</c:v>
                </c:pt>
                <c:pt idx="18">
                  <c:v>0.65351435382403833</c:v>
                </c:pt>
                <c:pt idx="19">
                  <c:v>1.3296286545373965</c:v>
                </c:pt>
                <c:pt idx="20">
                  <c:v>-0.84469985260820879</c:v>
                </c:pt>
                <c:pt idx="21">
                  <c:v>-1.0361640284813074</c:v>
                </c:pt>
                <c:pt idx="22">
                  <c:v>1.3296286545373965</c:v>
                </c:pt>
                <c:pt idx="23">
                  <c:v>-0.84469985260820879</c:v>
                </c:pt>
                <c:pt idx="24">
                  <c:v>0.65351435382403833</c:v>
                </c:pt>
                <c:pt idx="25">
                  <c:v>0.65351435382403833</c:v>
                </c:pt>
                <c:pt idx="26">
                  <c:v>1.3296286545373965</c:v>
                </c:pt>
                <c:pt idx="27">
                  <c:v>-0.84469985260820879</c:v>
                </c:pt>
                <c:pt idx="28">
                  <c:v>0.65351435382403833</c:v>
                </c:pt>
                <c:pt idx="29">
                  <c:v>-1.0361640284813074</c:v>
                </c:pt>
                <c:pt idx="30">
                  <c:v>1.3296286545373965</c:v>
                </c:pt>
                <c:pt idx="31">
                  <c:v>-0.84469985260820879</c:v>
                </c:pt>
                <c:pt idx="32">
                  <c:v>0.65351435382403833</c:v>
                </c:pt>
                <c:pt idx="33">
                  <c:v>-1.0361640284813074</c:v>
                </c:pt>
                <c:pt idx="34">
                  <c:v>1.3296286545373965</c:v>
                </c:pt>
                <c:pt idx="35">
                  <c:v>-0.84469985260820879</c:v>
                </c:pt>
                <c:pt idx="36">
                  <c:v>0.65351435382403833</c:v>
                </c:pt>
                <c:pt idx="37">
                  <c:v>-1.0361640284813074</c:v>
                </c:pt>
                <c:pt idx="38">
                  <c:v>1.3296286545373965</c:v>
                </c:pt>
                <c:pt idx="39">
                  <c:v>-0.84469985260820879</c:v>
                </c:pt>
                <c:pt idx="40">
                  <c:v>0.65351435382403833</c:v>
                </c:pt>
                <c:pt idx="41">
                  <c:v>-1.0361640284813074</c:v>
                </c:pt>
                <c:pt idx="42">
                  <c:v>1.3296286545373965</c:v>
                </c:pt>
                <c:pt idx="43">
                  <c:v>-0.84469985260820879</c:v>
                </c:pt>
                <c:pt idx="44">
                  <c:v>0.65351435382403833</c:v>
                </c:pt>
                <c:pt idx="45">
                  <c:v>-1.0361640284813074</c:v>
                </c:pt>
                <c:pt idx="46">
                  <c:v>1.3296286545373965</c:v>
                </c:pt>
                <c:pt idx="47">
                  <c:v>-0.84469985260820879</c:v>
                </c:pt>
                <c:pt idx="48">
                  <c:v>0.65351435382403833</c:v>
                </c:pt>
                <c:pt idx="49">
                  <c:v>-2976.096684440527</c:v>
                </c:pt>
              </c:numCache>
            </c:numRef>
          </c:xVal>
          <c:yVal>
            <c:numRef>
              <c:f>Formule!$E$2:$E$51</c:f>
              <c:numCache>
                <c:formatCode>0.000</c:formatCode>
                <c:ptCount val="50"/>
                <c:pt idx="0">
                  <c:v>0.19913922089758435</c:v>
                </c:pt>
                <c:pt idx="1">
                  <c:v>0.90817967389589449</c:v>
                </c:pt>
                <c:pt idx="2">
                  <c:v>0.15006281265045684</c:v>
                </c:pt>
                <c:pt idx="3">
                  <c:v>0.15006281265045684</c:v>
                </c:pt>
                <c:pt idx="4">
                  <c:v>0.15006281265045684</c:v>
                </c:pt>
                <c:pt idx="5">
                  <c:v>0.90817967389589449</c:v>
                </c:pt>
                <c:pt idx="6">
                  <c:v>0.74328763059357206</c:v>
                </c:pt>
                <c:pt idx="7">
                  <c:v>0.15006281265045684</c:v>
                </c:pt>
                <c:pt idx="8">
                  <c:v>0.90817967389589449</c:v>
                </c:pt>
                <c:pt idx="9">
                  <c:v>0.90817967389589449</c:v>
                </c:pt>
                <c:pt idx="10">
                  <c:v>0.74328763059357206</c:v>
                </c:pt>
                <c:pt idx="11">
                  <c:v>0.15006281265045684</c:v>
                </c:pt>
                <c:pt idx="12">
                  <c:v>0.19913922089758435</c:v>
                </c:pt>
                <c:pt idx="13">
                  <c:v>0.19913922089758435</c:v>
                </c:pt>
                <c:pt idx="14">
                  <c:v>0.19913922089758435</c:v>
                </c:pt>
                <c:pt idx="15">
                  <c:v>0.19913922089758435</c:v>
                </c:pt>
                <c:pt idx="16">
                  <c:v>0.15006281265045684</c:v>
                </c:pt>
                <c:pt idx="17">
                  <c:v>0.74328763059357206</c:v>
                </c:pt>
                <c:pt idx="18">
                  <c:v>0.74328763059357206</c:v>
                </c:pt>
                <c:pt idx="19">
                  <c:v>0.90817967389589449</c:v>
                </c:pt>
                <c:pt idx="20">
                  <c:v>0.19913922089758435</c:v>
                </c:pt>
                <c:pt idx="21">
                  <c:v>0.15006281265045684</c:v>
                </c:pt>
                <c:pt idx="22">
                  <c:v>0.90817967389589449</c:v>
                </c:pt>
                <c:pt idx="23">
                  <c:v>0.19913922089758435</c:v>
                </c:pt>
                <c:pt idx="24">
                  <c:v>0.74328763059357206</c:v>
                </c:pt>
                <c:pt idx="25">
                  <c:v>0.74328763059357206</c:v>
                </c:pt>
                <c:pt idx="26">
                  <c:v>0.90817967389589449</c:v>
                </c:pt>
                <c:pt idx="27">
                  <c:v>0.19913922089758435</c:v>
                </c:pt>
                <c:pt idx="28">
                  <c:v>0.74328763059357206</c:v>
                </c:pt>
                <c:pt idx="29">
                  <c:v>0.15006281265045684</c:v>
                </c:pt>
                <c:pt idx="30">
                  <c:v>0.90817967389589449</c:v>
                </c:pt>
                <c:pt idx="31">
                  <c:v>0.19913922089758435</c:v>
                </c:pt>
                <c:pt idx="32">
                  <c:v>0.74328763059357206</c:v>
                </c:pt>
                <c:pt idx="33">
                  <c:v>0.15006281265045684</c:v>
                </c:pt>
                <c:pt idx="34">
                  <c:v>0.90817967389589449</c:v>
                </c:pt>
                <c:pt idx="35">
                  <c:v>0.19913922089758435</c:v>
                </c:pt>
                <c:pt idx="36">
                  <c:v>0.74328763059357206</c:v>
                </c:pt>
                <c:pt idx="37">
                  <c:v>0.15006281265045684</c:v>
                </c:pt>
                <c:pt idx="38">
                  <c:v>0.90817967389589449</c:v>
                </c:pt>
                <c:pt idx="39">
                  <c:v>0.19913922089758435</c:v>
                </c:pt>
                <c:pt idx="40">
                  <c:v>0.74328763059357206</c:v>
                </c:pt>
                <c:pt idx="41">
                  <c:v>0.15006281265045684</c:v>
                </c:pt>
                <c:pt idx="42">
                  <c:v>0.90817967389589449</c:v>
                </c:pt>
                <c:pt idx="43">
                  <c:v>0.19913922089758435</c:v>
                </c:pt>
                <c:pt idx="44">
                  <c:v>0.74328763059357206</c:v>
                </c:pt>
                <c:pt idx="45">
                  <c:v>0.15006281265045684</c:v>
                </c:pt>
                <c:pt idx="46">
                  <c:v>0.90817967389589449</c:v>
                </c:pt>
                <c:pt idx="47">
                  <c:v>0.19913922089758435</c:v>
                </c:pt>
                <c:pt idx="48">
                  <c:v>0.74328763059357206</c:v>
                </c:pt>
                <c:pt idx="4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880-4252-83CF-44644B3C92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1218304"/>
        <c:axId val="51219840"/>
      </c:scatterChart>
      <c:valAx>
        <c:axId val="51218304"/>
        <c:scaling>
          <c:orientation val="minMax"/>
        </c:scaling>
        <c:delete val="0"/>
        <c:axPos val="b"/>
        <c:numFmt formatCode="0.0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19840"/>
        <c:crosses val="autoZero"/>
        <c:crossBetween val="midCat"/>
      </c:valAx>
      <c:valAx>
        <c:axId val="51219840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1830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98165137614683"/>
          <c:y val="0.32616600344311802"/>
          <c:w val="0.12293577981651371"/>
          <c:h val="0.1792122221281479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55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SPC!#REF!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47-4B88-B17B-989A1C305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230208"/>
        <c:axId val="51232128"/>
      </c:lineChart>
      <c:catAx>
        <c:axId val="51230208"/>
        <c:scaling>
          <c:orientation val="minMax"/>
        </c:scaling>
        <c:delete val="1"/>
        <c:axPos val="b"/>
        <c:minorGridlines>
          <c:spPr>
            <a:ln w="3175">
              <a:solidFill>
                <a:srgbClr val="000000"/>
              </a:solidFill>
              <a:prstDash val="solid"/>
            </a:ln>
          </c:spPr>
        </c:minorGridlines>
        <c:majorTickMark val="out"/>
        <c:minorTickMark val="none"/>
        <c:tickLblPos val="nextTo"/>
        <c:crossAx val="51232128"/>
        <c:crosses val="autoZero"/>
        <c:auto val="1"/>
        <c:lblAlgn val="ctr"/>
        <c:lblOffset val="100"/>
        <c:noMultiLvlLbl val="0"/>
      </c:catAx>
      <c:valAx>
        <c:axId val="51232128"/>
        <c:scaling>
          <c:orientation val="minMax"/>
          <c:max val="4"/>
          <c:min val="1"/>
        </c:scaling>
        <c:delete val="0"/>
        <c:axPos val="l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51230208"/>
        <c:crosses val="autoZero"/>
        <c:crossBetween val="between"/>
        <c:majorUnit val="0.5"/>
      </c:valAx>
      <c:spPr>
        <a:solidFill>
          <a:srgbClr val="CCCCFF"/>
        </a:solidFill>
        <a:ln w="3175">
          <a:solidFill>
            <a:srgbClr val="FFFFFF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70479869261625E-2"/>
          <c:y val="0.12101096340761321"/>
          <c:w val="0.86744284547924855"/>
          <c:h val="0.75324675324675328"/>
        </c:manualLayout>
      </c:layout>
      <c:barChart>
        <c:barDir val="col"/>
        <c:grouping val="clustered"/>
        <c:varyColors val="0"/>
        <c:ser>
          <c:idx val="0"/>
          <c:order val="0"/>
          <c:tx>
            <c:v>IN SPEC VALUES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Formule!$AE$22:$AE$30</c:f>
              <c:numCache>
                <c:formatCode>General</c:formatCode>
                <c:ptCount val="9"/>
                <c:pt idx="0">
                  <c:v>17.139999999999997</c:v>
                </c:pt>
                <c:pt idx="1">
                  <c:v>17.179999999999996</c:v>
                </c:pt>
                <c:pt idx="2">
                  <c:v>17.219999999999995</c:v>
                </c:pt>
                <c:pt idx="3">
                  <c:v>17.259999999999994</c:v>
                </c:pt>
                <c:pt idx="4">
                  <c:v>17.299999999999994</c:v>
                </c:pt>
                <c:pt idx="5">
                  <c:v>17.339999999999993</c:v>
                </c:pt>
                <c:pt idx="6">
                  <c:v>17.379999999999992</c:v>
                </c:pt>
                <c:pt idx="7">
                  <c:v>17.419999999999991</c:v>
                </c:pt>
                <c:pt idx="8">
                  <c:v>17.45999999999999</c:v>
                </c:pt>
              </c:numCache>
            </c:numRef>
          </c:cat>
          <c:val>
            <c:numRef>
              <c:f>Formule!$AJ$22:$AJ$30</c:f>
              <c:numCache>
                <c:formatCode>General</c:formatCode>
                <c:ptCount val="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E5-492D-B7DD-7EEE421DC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586944"/>
        <c:axId val="51134848"/>
      </c:barChart>
      <c:catAx>
        <c:axId val="95586944"/>
        <c:scaling>
          <c:orientation val="minMax"/>
        </c:scaling>
        <c:delete val="0"/>
        <c:axPos val="b"/>
        <c:numFmt formatCode="0.00" sourceLinked="0"/>
        <c:majorTickMark val="cross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511348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1134848"/>
        <c:scaling>
          <c:orientation val="minMax"/>
          <c:min val="0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95586944"/>
        <c:crosses val="autoZero"/>
        <c:crossBetween val="between"/>
      </c:valAx>
    </c:plotArea>
    <c:plotVisOnly val="1"/>
    <c:dispBlanksAs val="gap"/>
    <c:showDLblsOverMax val="0"/>
  </c:chart>
  <c:printSettings>
    <c:headerFooter alignWithMargins="0"/>
    <c:pageMargins b="1" l="0.75" r="0.75" t="1" header="0.5" footer="0.5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fmlaLink="K9" lockText="1"/>
</file>

<file path=xl/ctrlProps/ctrlProp2.xml><?xml version="1.0" encoding="utf-8"?>
<formControlPr xmlns="http://schemas.microsoft.com/office/spreadsheetml/2009/9/main" objectType="Radio" lockText="1"/>
</file>

<file path=xl/ctrlProps/ctrlProp3.xml><?xml version="1.0" encoding="utf-8"?>
<formControlPr xmlns="http://schemas.microsoft.com/office/spreadsheetml/2009/9/main" objectType="Radio" lockText="1"/>
</file>

<file path=xl/ctrlProps/ctrlProp4.xml><?xml version="1.0" encoding="utf-8"?>
<formControlPr xmlns="http://schemas.microsoft.com/office/spreadsheetml/2009/9/main" objectType="Drop" dropLines="5" dropStyle="combo" dx="15" fmlaLink="Formule!$K$1" fmlaRange="Formule!$K$2:$K$4" sel="1" val="0"/>
</file>

<file path=xl/ctrlProps/ctrlProp5.xml><?xml version="1.0" encoding="utf-8"?>
<formControlPr xmlns="http://schemas.microsoft.com/office/spreadsheetml/2009/9/main" objectType="Drop" dropLines="5" dropStyle="combo" dx="15" fmlaLink="Formule!$BC$1" fmlaRange="Formule!$BC$2:$BC$3" sel="2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25978</xdr:rowOff>
    </xdr:from>
    <xdr:to>
      <xdr:col>74</xdr:col>
      <xdr:colOff>361950</xdr:colOff>
      <xdr:row>28</xdr:row>
      <xdr:rowOff>571500</xdr:rowOff>
    </xdr:to>
    <xdr:graphicFrame macro="">
      <xdr:nvGraphicFramePr>
        <xdr:cNvPr id="2614" name="Chart 1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0</xdr:colOff>
      <xdr:row>11</xdr:row>
      <xdr:rowOff>0</xdr:rowOff>
    </xdr:from>
    <xdr:to>
      <xdr:col>74</xdr:col>
      <xdr:colOff>266700</xdr:colOff>
      <xdr:row>19</xdr:row>
      <xdr:rowOff>702180</xdr:rowOff>
    </xdr:to>
    <xdr:graphicFrame macro="">
      <xdr:nvGraphicFramePr>
        <xdr:cNvPr id="2615" name="Chart 3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xdr:twoCellAnchor>
    <xdr:from>
      <xdr:col>0</xdr:col>
      <xdr:colOff>86591</xdr:colOff>
      <xdr:row>40</xdr:row>
      <xdr:rowOff>9525</xdr:rowOff>
    </xdr:from>
    <xdr:to>
      <xdr:col>17</xdr:col>
      <xdr:colOff>285750</xdr:colOff>
      <xdr:row>53</xdr:row>
      <xdr:rowOff>114300</xdr:rowOff>
    </xdr:to>
    <xdr:graphicFrame macro="">
      <xdr:nvGraphicFramePr>
        <xdr:cNvPr id="2617" name="Chart 55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28</xdr:col>
      <xdr:colOff>409575</xdr:colOff>
      <xdr:row>8</xdr:row>
      <xdr:rowOff>9525</xdr:rowOff>
    </xdr:from>
    <xdr:to>
      <xdr:col>28</xdr:col>
      <xdr:colOff>352425</xdr:colOff>
      <xdr:row>8</xdr:row>
      <xdr:rowOff>9525</xdr:rowOff>
    </xdr:to>
    <xdr:sp macro="" textlink="">
      <xdr:nvSpPr>
        <xdr:cNvPr id="2618" name="Line 56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ShapeType="1"/>
        </xdr:cNvSpPr>
      </xdr:nvSpPr>
      <xdr:spPr bwMode="auto">
        <a:xfrm>
          <a:off x="6743700" y="9896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28575</xdr:colOff>
      <xdr:row>7</xdr:row>
      <xdr:rowOff>19050</xdr:rowOff>
    </xdr:from>
    <xdr:to>
      <xdr:col>30</xdr:col>
      <xdr:colOff>85725</xdr:colOff>
      <xdr:row>7</xdr:row>
      <xdr:rowOff>19050</xdr:rowOff>
    </xdr:to>
    <xdr:sp macro="" textlink="">
      <xdr:nvSpPr>
        <xdr:cNvPr id="2619" name="Line 57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ShapeType="1"/>
        </xdr:cNvSpPr>
      </xdr:nvSpPr>
      <xdr:spPr bwMode="auto">
        <a:xfrm>
          <a:off x="7124700" y="90963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28575</xdr:colOff>
      <xdr:row>1</xdr:row>
      <xdr:rowOff>142875</xdr:rowOff>
    </xdr:from>
    <xdr:to>
      <xdr:col>38</xdr:col>
      <xdr:colOff>85725</xdr:colOff>
      <xdr:row>1</xdr:row>
      <xdr:rowOff>142875</xdr:rowOff>
    </xdr:to>
    <xdr:sp macro="" textlink="">
      <xdr:nvSpPr>
        <xdr:cNvPr id="2620" name="Line 58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ShapeType="1"/>
        </xdr:cNvSpPr>
      </xdr:nvSpPr>
      <xdr:spPr bwMode="auto">
        <a:xfrm>
          <a:off x="7124700" y="9058275"/>
          <a:ext cx="571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2485</xdr:colOff>
      <xdr:row>41</xdr:row>
      <xdr:rowOff>92351</xdr:rowOff>
    </xdr:from>
    <xdr:to>
      <xdr:col>34</xdr:col>
      <xdr:colOff>361950</xdr:colOff>
      <xdr:row>52</xdr:row>
      <xdr:rowOff>111401</xdr:rowOff>
    </xdr:to>
    <xdr:graphicFrame macro="">
      <xdr:nvGraphicFramePr>
        <xdr:cNvPr id="2621" name="Chart 59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228600</xdr:colOff>
      <xdr:row>40</xdr:row>
      <xdr:rowOff>161925</xdr:rowOff>
    </xdr:from>
    <xdr:to>
      <xdr:col>2</xdr:col>
      <xdr:colOff>228600</xdr:colOff>
      <xdr:row>49</xdr:row>
      <xdr:rowOff>104775</xdr:rowOff>
    </xdr:to>
    <xdr:sp macro="" textlink="">
      <xdr:nvSpPr>
        <xdr:cNvPr id="2622" name="Line 531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ShapeType="1"/>
        </xdr:cNvSpPr>
      </xdr:nvSpPr>
      <xdr:spPr bwMode="auto">
        <a:xfrm>
          <a:off x="628650" y="8410575"/>
          <a:ext cx="0" cy="1419225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238125</xdr:colOff>
      <xdr:row>40</xdr:row>
      <xdr:rowOff>114300</xdr:rowOff>
    </xdr:from>
    <xdr:to>
      <xdr:col>3</xdr:col>
      <xdr:colOff>200025</xdr:colOff>
      <xdr:row>41</xdr:row>
      <xdr:rowOff>133350</xdr:rowOff>
    </xdr:to>
    <xdr:sp macro="" textlink="">
      <xdr:nvSpPr>
        <xdr:cNvPr id="2580" name="Text Box 532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 txBox="1">
          <a:spLocks noChangeArrowheads="1"/>
        </xdr:cNvSpPr>
      </xdr:nvSpPr>
      <xdr:spPr bwMode="auto">
        <a:xfrm>
          <a:off x="638175" y="8362950"/>
          <a:ext cx="3143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PH" sz="850" b="1" i="0" u="none" strike="noStrike" baseline="0">
              <a:solidFill>
                <a:srgbClr val="FF0000"/>
              </a:solidFill>
              <a:latin typeface="Arial"/>
              <a:cs typeface="Arial"/>
            </a:rPr>
            <a:t>LSL</a:t>
          </a:r>
        </a:p>
      </xdr:txBody>
    </xdr:sp>
    <xdr:clientData fLocksWithSheet="0"/>
  </xdr:twoCellAnchor>
  <xdr:twoCellAnchor>
    <xdr:from>
      <xdr:col>2</xdr:col>
      <xdr:colOff>228600</xdr:colOff>
      <xdr:row>41</xdr:row>
      <xdr:rowOff>114300</xdr:rowOff>
    </xdr:from>
    <xdr:to>
      <xdr:col>3</xdr:col>
      <xdr:colOff>190500</xdr:colOff>
      <xdr:row>42</xdr:row>
      <xdr:rowOff>152400</xdr:rowOff>
    </xdr:to>
    <xdr:sp macro="" textlink="$AH$3">
      <xdr:nvSpPr>
        <xdr:cNvPr id="2581" name="Text Box 533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 txBox="1">
          <a:spLocks noChangeArrowheads="1" noTextEdit="1"/>
        </xdr:cNvSpPr>
      </xdr:nvSpPr>
      <xdr:spPr bwMode="auto">
        <a:xfrm>
          <a:off x="628650" y="8543925"/>
          <a:ext cx="3143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48DC26CB-7B0A-443C-9BD8-BEAB2EF8796D}" type="TxLink">
            <a:rPr lang="en-PH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17.20</a:t>
          </a:fld>
          <a:endParaRPr lang="en-P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9</xdr:col>
      <xdr:colOff>276225</xdr:colOff>
      <xdr:row>40</xdr:row>
      <xdr:rowOff>142875</xdr:rowOff>
    </xdr:from>
    <xdr:to>
      <xdr:col>9</xdr:col>
      <xdr:colOff>276225</xdr:colOff>
      <xdr:row>49</xdr:row>
      <xdr:rowOff>85725</xdr:rowOff>
    </xdr:to>
    <xdr:sp macro="" textlink="">
      <xdr:nvSpPr>
        <xdr:cNvPr id="2625" name="Line 534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ShapeType="1"/>
        </xdr:cNvSpPr>
      </xdr:nvSpPr>
      <xdr:spPr bwMode="auto">
        <a:xfrm>
          <a:off x="3143250" y="8391525"/>
          <a:ext cx="0" cy="1419225"/>
        </a:xfrm>
        <a:prstGeom prst="line">
          <a:avLst/>
        </a:prstGeom>
        <a:noFill/>
        <a:ln w="19050">
          <a:solidFill>
            <a:srgbClr val="0000FF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9</xdr:col>
      <xdr:colOff>304799</xdr:colOff>
      <xdr:row>43</xdr:row>
      <xdr:rowOff>9525</xdr:rowOff>
    </xdr:from>
    <xdr:to>
      <xdr:col>11</xdr:col>
      <xdr:colOff>238124</xdr:colOff>
      <xdr:row>44</xdr:row>
      <xdr:rowOff>47625</xdr:rowOff>
    </xdr:to>
    <xdr:sp macro="" textlink="">
      <xdr:nvSpPr>
        <xdr:cNvPr id="2583" name="Text Box 535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 txBox="1">
          <a:spLocks noChangeArrowheads="1"/>
        </xdr:cNvSpPr>
      </xdr:nvSpPr>
      <xdr:spPr bwMode="auto">
        <a:xfrm>
          <a:off x="3905249" y="11658600"/>
          <a:ext cx="63817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PH" sz="850" b="1" i="0" u="none" strike="noStrike" baseline="0">
              <a:solidFill>
                <a:srgbClr val="0000FF"/>
              </a:solidFill>
              <a:latin typeface="Arial"/>
              <a:cs typeface="Arial"/>
            </a:rPr>
            <a:t>TARGET</a:t>
          </a:r>
        </a:p>
      </xdr:txBody>
    </xdr:sp>
    <xdr:clientData fLocksWithSheet="0"/>
  </xdr:twoCellAnchor>
  <xdr:twoCellAnchor>
    <xdr:from>
      <xdr:col>10</xdr:col>
      <xdr:colOff>38100</xdr:colOff>
      <xdr:row>44</xdr:row>
      <xdr:rowOff>28575</xdr:rowOff>
    </xdr:from>
    <xdr:to>
      <xdr:col>11</xdr:col>
      <xdr:colOff>38100</xdr:colOff>
      <xdr:row>45</xdr:row>
      <xdr:rowOff>85725</xdr:rowOff>
    </xdr:to>
    <xdr:sp macro="" textlink="$AH$4">
      <xdr:nvSpPr>
        <xdr:cNvPr id="2584" name="Text Box 536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 txBox="1">
          <a:spLocks noChangeArrowheads="1" noTextEdit="1"/>
        </xdr:cNvSpPr>
      </xdr:nvSpPr>
      <xdr:spPr bwMode="auto">
        <a:xfrm>
          <a:off x="3257550" y="8943975"/>
          <a:ext cx="3524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E3CF24A5-E40A-4B22-9661-4BE15A8D8C0E}" type="TxLink">
            <a:rPr lang="en-PH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17.30</a:t>
          </a:fld>
          <a:endParaRPr lang="en-P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xdr:twoCellAnchor>
    <xdr:from>
      <xdr:col>16</xdr:col>
      <xdr:colOff>323850</xdr:colOff>
      <xdr:row>40</xdr:row>
      <xdr:rowOff>171450</xdr:rowOff>
    </xdr:from>
    <xdr:to>
      <xdr:col>16</xdr:col>
      <xdr:colOff>323850</xdr:colOff>
      <xdr:row>49</xdr:row>
      <xdr:rowOff>114300</xdr:rowOff>
    </xdr:to>
    <xdr:sp macro="" textlink="">
      <xdr:nvSpPr>
        <xdr:cNvPr id="2628" name="Line 537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ShapeType="1"/>
        </xdr:cNvSpPr>
      </xdr:nvSpPr>
      <xdr:spPr bwMode="auto">
        <a:xfrm>
          <a:off x="5821136" y="8667750"/>
          <a:ext cx="0" cy="1581150"/>
        </a:xfrm>
        <a:prstGeom prst="line">
          <a:avLst/>
        </a:prstGeom>
        <a:noFill/>
        <a:ln w="19050">
          <a:solidFill>
            <a:srgbClr val="FF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16</xdr:col>
      <xdr:colOff>9525</xdr:colOff>
      <xdr:row>40</xdr:row>
      <xdr:rowOff>114300</xdr:rowOff>
    </xdr:from>
    <xdr:to>
      <xdr:col>16</xdr:col>
      <xdr:colOff>323850</xdr:colOff>
      <xdr:row>41</xdr:row>
      <xdr:rowOff>142875</xdr:rowOff>
    </xdr:to>
    <xdr:sp macro="" textlink="">
      <xdr:nvSpPr>
        <xdr:cNvPr id="2586" name="Text Box 538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 txBox="1">
          <a:spLocks noChangeArrowheads="1"/>
        </xdr:cNvSpPr>
      </xdr:nvSpPr>
      <xdr:spPr bwMode="auto">
        <a:xfrm>
          <a:off x="5343525" y="8362950"/>
          <a:ext cx="314325" cy="209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en-PH" sz="850" b="1" i="0" u="none" strike="noStrike" baseline="0">
              <a:solidFill>
                <a:srgbClr val="FF0000"/>
              </a:solidFill>
              <a:latin typeface="Arial"/>
              <a:cs typeface="Arial"/>
            </a:rPr>
            <a:t>USL</a:t>
          </a:r>
        </a:p>
      </xdr:txBody>
    </xdr:sp>
    <xdr:clientData fLocksWithSheet="0"/>
  </xdr:twoCellAnchor>
  <xdr:twoCellAnchor>
    <xdr:from>
      <xdr:col>16</xdr:col>
      <xdr:colOff>9525</xdr:colOff>
      <xdr:row>41</xdr:row>
      <xdr:rowOff>114300</xdr:rowOff>
    </xdr:from>
    <xdr:to>
      <xdr:col>16</xdr:col>
      <xdr:colOff>323850</xdr:colOff>
      <xdr:row>43</xdr:row>
      <xdr:rowOff>38100</xdr:rowOff>
    </xdr:to>
    <xdr:sp macro="" textlink="$AH$5">
      <xdr:nvSpPr>
        <xdr:cNvPr id="2587" name="Text Box 539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 txBox="1">
          <a:spLocks noChangeArrowheads="1" noTextEdit="1"/>
        </xdr:cNvSpPr>
      </xdr:nvSpPr>
      <xdr:spPr bwMode="auto">
        <a:xfrm>
          <a:off x="5343525" y="8543925"/>
          <a:ext cx="314325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fld id="{A0C407FF-AE5C-4EA1-8244-A6B0E5033939}" type="TxLink">
            <a:rPr lang="en-PH" sz="850" b="1" i="0" u="none" strike="noStrike" baseline="0">
              <a:solidFill>
                <a:srgbClr val="000000"/>
              </a:solidFill>
              <a:latin typeface="Arial"/>
              <a:cs typeface="Arial"/>
            </a:rPr>
            <a:pPr algn="ctr" rtl="0">
              <a:defRPr sz="1000"/>
            </a:pPr>
            <a:t>17.40</a:t>
          </a:fld>
          <a:endParaRPr lang="en-PH" sz="85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</xdr:colOff>
          <xdr:row>7</xdr:row>
          <xdr:rowOff>198120</xdr:rowOff>
        </xdr:from>
        <xdr:to>
          <xdr:col>4</xdr:col>
          <xdr:colOff>220980</xdr:colOff>
          <xdr:row>9</xdr:row>
          <xdr:rowOff>0</xdr:rowOff>
        </xdr:to>
        <xdr:sp macro="" textlink="">
          <xdr:nvSpPr>
            <xdr:cNvPr id="2080" name="Option Butto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Two sided spec (bilateral)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213360</xdr:colOff>
          <xdr:row>8</xdr:row>
          <xdr:rowOff>30480</xdr:rowOff>
        </xdr:from>
        <xdr:to>
          <xdr:col>9</xdr:col>
          <xdr:colOff>0</xdr:colOff>
          <xdr:row>9</xdr:row>
          <xdr:rowOff>30480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 sided (MIN)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99060</xdr:colOff>
          <xdr:row>8</xdr:row>
          <xdr:rowOff>7620</xdr:rowOff>
        </xdr:from>
        <xdr:to>
          <xdr:col>15</xdr:col>
          <xdr:colOff>60960</xdr:colOff>
          <xdr:row>9</xdr:row>
          <xdr:rowOff>22860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  <a:ext uri="{FF2B5EF4-FFF2-40B4-BE49-F238E27FC236}">
                  <a16:creationId xmlns:a16="http://schemas.microsoft.com/office/drawing/2014/main" id="{00000000-0008-0000-0000-00002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One sided (MAX)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38100</xdr:colOff>
          <xdr:row>6</xdr:row>
          <xdr:rowOff>45720</xdr:rowOff>
        </xdr:from>
        <xdr:to>
          <xdr:col>16</xdr:col>
          <xdr:colOff>342900</xdr:colOff>
          <xdr:row>7</xdr:row>
          <xdr:rowOff>76200</xdr:rowOff>
        </xdr:to>
        <xdr:sp macro="" textlink="">
          <xdr:nvSpPr>
            <xdr:cNvPr id="2590" name="Drop Down 542" hidden="1">
              <a:extLst>
                <a:ext uri="{63B3BB69-23CF-44E3-9099-C40C66FF867C}">
                  <a14:compatExt spid="_x0000_s2590"/>
                </a:ext>
                <a:ext uri="{FF2B5EF4-FFF2-40B4-BE49-F238E27FC236}">
                  <a16:creationId xmlns:a16="http://schemas.microsoft.com/office/drawing/2014/main" id="{00000000-0008-0000-0000-00001E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236220</xdr:colOff>
          <xdr:row>3</xdr:row>
          <xdr:rowOff>144780</xdr:rowOff>
        </xdr:from>
        <xdr:to>
          <xdr:col>14</xdr:col>
          <xdr:colOff>160020</xdr:colOff>
          <xdr:row>5</xdr:row>
          <xdr:rowOff>76200</xdr:rowOff>
        </xdr:to>
        <xdr:sp macro="" textlink="">
          <xdr:nvSpPr>
            <xdr:cNvPr id="2599" name="Drop Down 551" hidden="1">
              <a:extLst>
                <a:ext uri="{63B3BB69-23CF-44E3-9099-C40C66FF867C}">
                  <a14:compatExt spid="_x0000_s2599"/>
                </a:ext>
                <a:ext uri="{FF2B5EF4-FFF2-40B4-BE49-F238E27FC236}">
                  <a16:creationId xmlns:a16="http://schemas.microsoft.com/office/drawing/2014/main" id="{00000000-0008-0000-0000-0000270A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1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0.01991</cdr:x>
      <cdr:y>0.10125</cdr:y>
    </cdr:from>
    <cdr:to>
      <cdr:x>0.03541</cdr:x>
      <cdr:y>0.82606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030" y="242943"/>
          <a:ext cx="94243" cy="173912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vert="wordArtVert" wrap="square" lIns="27432" tIns="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PH" sz="1125" b="1" i="0" u="none" strike="noStrike" baseline="0">
              <a:solidFill>
                <a:srgbClr val="000000"/>
              </a:solidFill>
              <a:latin typeface="Times"/>
              <a:cs typeface="Times"/>
            </a:rPr>
            <a:t>FREQUENCY</a:t>
          </a:r>
        </a:p>
      </cdr:txBody>
    </cdr:sp>
  </cdr:relSizeAnchor>
  <cdr:relSizeAnchor xmlns:cdr="http://schemas.openxmlformats.org/drawingml/2006/chartDrawing">
    <cdr:from>
      <cdr:x>0.45753</cdr:x>
      <cdr:y>0.91286</cdr:y>
    </cdr:from>
    <cdr:to>
      <cdr:x>0.57689</cdr:x>
      <cdr:y>0.98484</cdr:y>
    </cdr:to>
    <cdr:sp macro="" textlink="">
      <cdr:nvSpPr>
        <cdr:cNvPr id="6146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30235" y="2190346"/>
          <a:ext cx="686197" cy="17271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PH" sz="1125" b="1" i="0" u="none" strike="noStrike" baseline="0">
              <a:solidFill>
                <a:srgbClr val="000000"/>
              </a:solidFill>
              <a:latin typeface="Times"/>
              <a:cs typeface="Times"/>
            </a:rPr>
            <a:t>RANGE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10</xdr:col>
      <xdr:colOff>314325</xdr:colOff>
      <xdr:row>17</xdr:row>
      <xdr:rowOff>66675</xdr:rowOff>
    </xdr:to>
    <xdr:graphicFrame macro="">
      <xdr:nvGraphicFramePr>
        <xdr:cNvPr id="13316" name="Chart 1">
          <a:extLst>
            <a:ext uri="{FF2B5EF4-FFF2-40B4-BE49-F238E27FC236}">
              <a16:creationId xmlns:a16="http://schemas.microsoft.com/office/drawing/2014/main" id="{00000000-0008-0000-0100-0000043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41</xdr:col>
      <xdr:colOff>171450</xdr:colOff>
      <xdr:row>51</xdr:row>
      <xdr:rowOff>0</xdr:rowOff>
    </xdr:from>
    <xdr:to>
      <xdr:col>59</xdr:col>
      <xdr:colOff>47625</xdr:colOff>
      <xdr:row>51</xdr:row>
      <xdr:rowOff>0</xdr:rowOff>
    </xdr:to>
    <xdr:graphicFrame macro="">
      <xdr:nvGraphicFramePr>
        <xdr:cNvPr id="3" name="Chart 2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294217</xdr:colOff>
      <xdr:row>178</xdr:row>
      <xdr:rowOff>66675</xdr:rowOff>
    </xdr:from>
    <xdr:to>
      <xdr:col>22</xdr:col>
      <xdr:colOff>164042</xdr:colOff>
      <xdr:row>199</xdr:row>
      <xdr:rowOff>11206</xdr:rowOff>
    </xdr:to>
    <xdr:graphicFrame macro="">
      <xdr:nvGraphicFramePr>
        <xdr:cNvPr id="5" name="Chart 55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ES761"/>
  <sheetViews>
    <sheetView showGridLines="0" tabSelected="1" topLeftCell="D1" zoomScaleNormal="100" workbookViewId="0">
      <selection activeCell="BZ19" sqref="BZ19"/>
    </sheetView>
  </sheetViews>
  <sheetFormatPr defaultColWidth="9.109375" defaultRowHeight="13.2" x14ac:dyDescent="0.25"/>
  <cols>
    <col min="1" max="1" width="3.33203125" style="8" customWidth="1"/>
    <col min="2" max="2" width="5.88671875" style="8" customWidth="1"/>
    <col min="3" max="3" width="5.6640625" style="8" customWidth="1"/>
    <col min="4" max="4" width="6.6640625" style="8" customWidth="1"/>
    <col min="5" max="6" width="5.6640625" style="8" customWidth="1"/>
    <col min="7" max="7" width="7.109375" style="8" customWidth="1"/>
    <col min="8" max="8" width="6" style="8" customWidth="1"/>
    <col min="9" max="10" width="5.88671875" style="8" customWidth="1"/>
    <col min="11" max="27" width="6" style="8" customWidth="1"/>
    <col min="28" max="53" width="6" style="9" customWidth="1"/>
    <col min="54" max="54" width="6" style="10" customWidth="1"/>
    <col min="55" max="75" width="6" style="12" customWidth="1"/>
    <col min="76" max="132" width="9.109375" style="12"/>
    <col min="133" max="16384" width="9.109375" style="8"/>
  </cols>
  <sheetData>
    <row r="1" spans="1:149" ht="15.75" customHeight="1" thickBot="1" x14ac:dyDescent="0.3">
      <c r="A1" s="13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</row>
    <row r="2" spans="1:149" ht="12.75" customHeight="1" thickBot="1" x14ac:dyDescent="0.3">
      <c r="A2" s="313" t="s">
        <v>222</v>
      </c>
      <c r="B2" s="314"/>
      <c r="C2" s="315"/>
      <c r="D2" s="231"/>
      <c r="E2" s="232"/>
      <c r="F2" s="232"/>
      <c r="G2" s="232"/>
      <c r="H2" s="232"/>
      <c r="I2" s="232"/>
      <c r="J2" s="233"/>
      <c r="K2" s="15" t="str">
        <f>IF($K$9=1,"LSL:",IF($K$9=2,"MIN:",""))</f>
        <v>LSL:</v>
      </c>
      <c r="L2" s="238">
        <f>IF(P5="","",IF(OR($K$9=1,$K$9=2),IF(L3&gt;Q3,"- &gt; +",N2-L3),""))</f>
        <v>17.2</v>
      </c>
      <c r="M2" s="16" t="s">
        <v>123</v>
      </c>
      <c r="N2" s="369">
        <v>17.3</v>
      </c>
      <c r="O2" s="370"/>
      <c r="P2" s="17" t="str">
        <f>IF($K$9=1,"USL:",IF($K$9=2,"","MAX:"))</f>
        <v>USL:</v>
      </c>
      <c r="Q2" s="239">
        <f>IF(P5="","",IF(OR($K$9=1,$K$9=3),IF(L3&gt;Q3,"- &gt; +",N2+Q3),""))</f>
        <v>17.400000000000002</v>
      </c>
      <c r="R2" s="321" t="s">
        <v>30</v>
      </c>
      <c r="S2" s="322"/>
      <c r="T2" s="322"/>
      <c r="U2" s="322"/>
      <c r="V2" s="322"/>
      <c r="W2" s="322"/>
      <c r="X2" s="288" t="str">
        <f>IF(Formule!$K$1=1,"X BAR Chart",IF(Formule!$K$1=2,"INDIVIDUALS Chart",IF(Formule!$K$1=3,"MEDIANS","")))</f>
        <v>X BAR Chart</v>
      </c>
      <c r="Y2" s="288"/>
      <c r="Z2" s="288" t="str">
        <f>IF(Formule!$K$1=1,"R Chart",IF(Formule!$K$1=2,"MR Chart",IF(Formule!$K$1=3,"R Chart","")))</f>
        <v>R Chart</v>
      </c>
      <c r="AA2" s="290"/>
      <c r="AB2" s="249" t="s">
        <v>92</v>
      </c>
      <c r="AC2" s="250"/>
      <c r="AD2" s="250"/>
      <c r="AE2" s="250"/>
      <c r="AF2" s="250"/>
      <c r="AG2" s="251"/>
      <c r="AH2" s="263">
        <f>IF(COUNT(C32:AA36,AC32:BA36)&lt;&gt;0,COUNT(C32:AA36,AC32:BA36),"")</f>
        <v>250</v>
      </c>
      <c r="AI2" s="260"/>
      <c r="AJ2" s="250" t="s">
        <v>101</v>
      </c>
      <c r="AK2" s="250"/>
      <c r="AL2" s="250"/>
      <c r="AM2" s="250"/>
      <c r="AN2" s="250"/>
      <c r="AO2" s="251"/>
      <c r="AP2" s="252">
        <f>IF(AH2="","",SUM(C32:AA36,AC32:BA36))</f>
        <v>4307.1466534375486</v>
      </c>
      <c r="AQ2" s="260"/>
      <c r="AR2" s="72" t="s">
        <v>114</v>
      </c>
      <c r="AS2" s="73"/>
      <c r="AT2" s="73"/>
      <c r="AU2" s="73"/>
      <c r="AV2" s="73"/>
      <c r="AW2" s="74"/>
      <c r="AX2" s="226">
        <f>IF(P5="","",STDEVP(C32:BA36))</f>
        <v>1.3275256697038346E-2</v>
      </c>
      <c r="AY2" s="227"/>
      <c r="AZ2" s="126"/>
    </row>
    <row r="3" spans="1:149" ht="12.75" customHeight="1" thickBot="1" x14ac:dyDescent="0.3">
      <c r="A3" s="313" t="s">
        <v>220</v>
      </c>
      <c r="B3" s="314"/>
      <c r="C3" s="314"/>
      <c r="D3" s="231"/>
      <c r="E3" s="232"/>
      <c r="F3" s="232"/>
      <c r="G3" s="232"/>
      <c r="H3" s="232"/>
      <c r="I3" s="232"/>
      <c r="J3" s="259"/>
      <c r="K3" s="247" t="s">
        <v>124</v>
      </c>
      <c r="L3" s="223">
        <v>0.1</v>
      </c>
      <c r="M3" s="375" t="str">
        <f>IF($K$9=1,"NOMINAL:","")</f>
        <v>NOMINAL:</v>
      </c>
      <c r="N3" s="376"/>
      <c r="O3" s="203">
        <f>IF(P5="","",IF($K$9=1,IF(L2="- &gt; +","ERROR",((Q2+L2)/2)),""))</f>
        <v>17.3</v>
      </c>
      <c r="P3" s="22" t="s">
        <v>122</v>
      </c>
      <c r="Q3" s="240">
        <v>0.1</v>
      </c>
      <c r="R3" s="291" t="s">
        <v>36</v>
      </c>
      <c r="S3" s="292"/>
      <c r="T3" s="292"/>
      <c r="U3" s="295" t="s">
        <v>37</v>
      </c>
      <c r="V3" s="296"/>
      <c r="W3" s="297"/>
      <c r="X3" s="289">
        <f>IF(P5="","",Formule!U50)</f>
        <v>2</v>
      </c>
      <c r="Y3" s="289"/>
      <c r="Z3" s="299">
        <f>IF(P5="","",Formule!U57)</f>
        <v>3</v>
      </c>
      <c r="AA3" s="300" t="e">
        <f>IF(#REF!="","",Formule!AC33)</f>
        <v>#REF!</v>
      </c>
      <c r="AB3" s="69" t="s">
        <v>94</v>
      </c>
      <c r="AC3" s="70"/>
      <c r="AD3" s="70"/>
      <c r="AE3" s="70"/>
      <c r="AF3" s="70"/>
      <c r="AG3" s="71"/>
      <c r="AH3" s="224">
        <f>IF(P5="","",IF(K9=3,"N/A",L2))</f>
        <v>17.2</v>
      </c>
      <c r="AI3" s="228"/>
      <c r="AJ3" s="73" t="s">
        <v>107</v>
      </c>
      <c r="AK3" s="73"/>
      <c r="AL3" s="73"/>
      <c r="AM3" s="73"/>
      <c r="AN3" s="73"/>
      <c r="AO3" s="74"/>
      <c r="AP3" s="230">
        <f>IF(AH2="","",MAX(C32:AA36,AC32:BA36))</f>
        <v>17.250646766482777</v>
      </c>
      <c r="AQ3" s="229"/>
      <c r="AR3" s="72" t="s">
        <v>115</v>
      </c>
      <c r="AS3" s="73"/>
      <c r="AT3" s="73"/>
      <c r="AU3" s="73"/>
      <c r="AV3" s="73"/>
      <c r="AW3" s="74"/>
      <c r="AX3" s="226">
        <f>IF(P5="","",VAR(C32:BA36))</f>
        <v>1.7692626887766408E-4</v>
      </c>
      <c r="AY3" s="227"/>
      <c r="AZ3" s="127"/>
    </row>
    <row r="4" spans="1:149" s="9" customFormat="1" ht="12.75" customHeight="1" thickBot="1" x14ac:dyDescent="0.3">
      <c r="A4" s="313" t="s">
        <v>221</v>
      </c>
      <c r="B4" s="314"/>
      <c r="C4" s="315"/>
      <c r="D4" s="245"/>
      <c r="E4" s="246"/>
      <c r="F4" s="246"/>
      <c r="G4" s="246"/>
      <c r="H4" s="246"/>
      <c r="I4" s="246"/>
      <c r="J4" s="248"/>
      <c r="K4" s="301"/>
      <c r="L4" s="302"/>
      <c r="M4" s="302"/>
      <c r="N4" s="302"/>
      <c r="O4" s="302"/>
      <c r="P4" s="377" t="s">
        <v>125</v>
      </c>
      <c r="Q4" s="378"/>
      <c r="R4" s="293"/>
      <c r="S4" s="294"/>
      <c r="T4" s="294"/>
      <c r="U4" s="272" t="s">
        <v>44</v>
      </c>
      <c r="V4" s="273"/>
      <c r="W4" s="274"/>
      <c r="X4" s="298">
        <f ca="1">IF(P5="","",Formule!U52)</f>
        <v>25</v>
      </c>
      <c r="Y4" s="298">
        <f>IF(AP5="","",Formule!AA34)</f>
        <v>0</v>
      </c>
      <c r="Z4" s="298">
        <f ca="1">IF(P5="","",Formule!U59)</f>
        <v>25</v>
      </c>
      <c r="AA4" s="275" t="e">
        <f>IF(#REF!="","",Formule!AC34)</f>
        <v>#REF!</v>
      </c>
      <c r="AB4" s="72" t="s">
        <v>95</v>
      </c>
      <c r="AC4" s="73"/>
      <c r="AD4" s="73"/>
      <c r="AE4" s="73"/>
      <c r="AF4" s="73"/>
      <c r="AG4" s="74"/>
      <c r="AH4" s="226">
        <f>IF(P5="","",IF(K9&lt;&gt;1,"N/A",O3))</f>
        <v>17.3</v>
      </c>
      <c r="AI4" s="229"/>
      <c r="AJ4" s="73" t="s">
        <v>108</v>
      </c>
      <c r="AK4" s="73"/>
      <c r="AL4" s="73"/>
      <c r="AM4" s="73"/>
      <c r="AN4" s="73"/>
      <c r="AO4" s="74"/>
      <c r="AP4" s="230">
        <f>IF(AH2="","",MIN(C32:AA36,AC32:BA36))</f>
        <v>17.207724875927173</v>
      </c>
      <c r="AQ4" s="229"/>
      <c r="AR4" s="72" t="s">
        <v>116</v>
      </c>
      <c r="AS4" s="73"/>
      <c r="AT4" s="73"/>
      <c r="AU4" s="73"/>
      <c r="AV4" s="73"/>
      <c r="AW4" s="74"/>
      <c r="AX4" s="226">
        <f>IF(P5="","",VARP(C32:BA36))</f>
        <v>1.7623244037226149E-4</v>
      </c>
      <c r="AY4" s="227"/>
      <c r="AZ4" s="127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</row>
    <row r="5" spans="1:149" ht="15.75" customHeight="1" thickBot="1" x14ac:dyDescent="0.3">
      <c r="A5" s="310"/>
      <c r="B5" s="311"/>
      <c r="C5" s="312"/>
      <c r="D5" s="231"/>
      <c r="E5" s="232"/>
      <c r="F5" s="232"/>
      <c r="G5" s="232"/>
      <c r="H5" s="232"/>
      <c r="I5" s="232"/>
      <c r="J5" s="233"/>
      <c r="K5" s="303"/>
      <c r="L5" s="304"/>
      <c r="M5" s="304"/>
      <c r="N5" s="304"/>
      <c r="O5" s="304"/>
      <c r="P5" s="379">
        <f>IF(COUNT(C32:C36)&lt;&gt;0,COUNT(C32:C36),"")</f>
        <v>5</v>
      </c>
      <c r="Q5" s="380"/>
      <c r="R5" s="323" t="s">
        <v>47</v>
      </c>
      <c r="S5" s="324"/>
      <c r="T5" s="325"/>
      <c r="U5" s="272" t="s">
        <v>37</v>
      </c>
      <c r="V5" s="273"/>
      <c r="W5" s="274"/>
      <c r="X5" s="360">
        <f>IF(P5="","",Formule!U51)</f>
        <v>3</v>
      </c>
      <c r="Y5" s="361"/>
      <c r="Z5" s="275">
        <f>IF(P5="","",Formule!U58)</f>
        <v>3</v>
      </c>
      <c r="AA5" s="276" t="e">
        <f>IF(#REF!="","",Formule!AC35)</f>
        <v>#REF!</v>
      </c>
      <c r="AB5" s="72" t="s">
        <v>98</v>
      </c>
      <c r="AC5" s="73"/>
      <c r="AD5" s="73"/>
      <c r="AE5" s="73"/>
      <c r="AF5" s="73"/>
      <c r="AG5" s="74"/>
      <c r="AH5" s="226">
        <f>IF(P5="","",IF(K9=2,"N/A",Q2))</f>
        <v>17.400000000000002</v>
      </c>
      <c r="AI5" s="229"/>
      <c r="AJ5" s="73" t="s">
        <v>132</v>
      </c>
      <c r="AK5" s="73"/>
      <c r="AL5" s="78"/>
      <c r="AM5" s="79"/>
      <c r="AN5" s="73"/>
      <c r="AO5" s="74"/>
      <c r="AP5" s="279">
        <f>IF(P5="","",IF(Formule!$K$1=1,Formule!$Z$15,IF(Formule!$K$1=2,Formule!$AD$15,IF(Formule!$K$1=3,Formule!$AH$15,""))))</f>
        <v>2.3260000000000001</v>
      </c>
      <c r="AQ5" s="280"/>
      <c r="AR5" s="241" t="s">
        <v>133</v>
      </c>
      <c r="AS5" s="241"/>
      <c r="AT5" s="241"/>
      <c r="AU5" s="241"/>
      <c r="AV5" s="241"/>
      <c r="AW5" s="242"/>
      <c r="AX5" s="243">
        <f ca="1">IF(P5="","",IF(AND(Formule!BC1=1,Formule!R15&gt;=1),"",IF(K9&lt;&gt;1,"N/A",(6*AP9)/(AH5-AH3))))</f>
        <v>0.39904090265271447</v>
      </c>
      <c r="AY5" s="244"/>
      <c r="AZ5" s="127"/>
    </row>
    <row r="6" spans="1:149" ht="14.25" customHeight="1" thickBot="1" x14ac:dyDescent="0.3">
      <c r="A6" s="307"/>
      <c r="B6" s="308"/>
      <c r="C6" s="309"/>
      <c r="D6" s="234"/>
      <c r="E6" s="235"/>
      <c r="F6" s="235"/>
      <c r="G6" s="235"/>
      <c r="H6" s="235"/>
      <c r="I6" s="235"/>
      <c r="J6" s="236"/>
      <c r="K6" s="305"/>
      <c r="L6" s="306"/>
      <c r="M6" s="306"/>
      <c r="N6" s="306"/>
      <c r="O6" s="306"/>
      <c r="P6" s="381"/>
      <c r="Q6" s="382"/>
      <c r="R6" s="326"/>
      <c r="S6" s="327"/>
      <c r="T6" s="328"/>
      <c r="U6" s="272" t="s">
        <v>44</v>
      </c>
      <c r="V6" s="273"/>
      <c r="W6" s="274"/>
      <c r="X6" s="275">
        <f ca="1">IF(P5="","",Formule!U53)</f>
        <v>0</v>
      </c>
      <c r="Y6" s="368">
        <f>IF(AP7="","",Formule!AA36)</f>
        <v>0</v>
      </c>
      <c r="Z6" s="275">
        <f ca="1">IF(P5="","",Formule!U60)</f>
        <v>0</v>
      </c>
      <c r="AA6" s="276" t="str">
        <f>IF(AA54="","",Formule!AC36)</f>
        <v/>
      </c>
      <c r="AB6" s="69" t="s">
        <v>109</v>
      </c>
      <c r="AC6" s="70"/>
      <c r="AD6" s="70"/>
      <c r="AE6" s="70"/>
      <c r="AF6" s="70"/>
      <c r="AG6" s="71"/>
      <c r="AH6" s="283">
        <f ca="1">IF(AH2="","",COUNTIF(C32:BA36,"&lt;"&amp;INDIRECT(Formule!S35)))</f>
        <v>0</v>
      </c>
      <c r="AI6" s="284"/>
      <c r="AJ6" s="70" t="s">
        <v>135</v>
      </c>
      <c r="AK6" s="70"/>
      <c r="AL6" s="70"/>
      <c r="AM6" s="70"/>
      <c r="AN6" s="70"/>
      <c r="AO6" s="71"/>
      <c r="AP6" s="224">
        <f>IF(P5="","",IF(K9=2,"N/A",IF(Formule!BC1=1,"N/A",(AH5-AH8)/(3*AH9/AP5))))</f>
        <v>4.1367897044064765</v>
      </c>
      <c r="AQ6" s="225"/>
      <c r="AZ6" s="127"/>
    </row>
    <row r="7" spans="1:149" ht="16.5" customHeight="1" thickBot="1" x14ac:dyDescent="0.3">
      <c r="A7" s="256" t="s">
        <v>218</v>
      </c>
      <c r="B7" s="257"/>
      <c r="C7" s="257"/>
      <c r="D7" s="257"/>
      <c r="E7" s="258"/>
      <c r="F7" s="358">
        <f ca="1">IF(P5="","",IF(AND(Formule!BC1=1,Formule!R15&gt;=1),"",IF(K9&lt;&gt;1,"N/A",(AH5-AH3)/(6*AP9))))</f>
        <v>2.5060087658991201</v>
      </c>
      <c r="G7" s="359"/>
      <c r="H7" s="253" t="s">
        <v>217</v>
      </c>
      <c r="I7" s="254"/>
      <c r="J7" s="254"/>
      <c r="K7" s="254"/>
      <c r="L7" s="254"/>
      <c r="M7" s="255"/>
      <c r="N7" s="348">
        <f>IF(P5="","",IF(K9&lt;&gt;1,"N/A",IF(Formule!BC1=1,"N/A",(AH5-AH3)/(6*AH9/AP5))))</f>
        <v>2.4133411018308313</v>
      </c>
      <c r="O7" s="349"/>
      <c r="P7" s="371" t="str">
        <f>CHOOSE(Formule!K1,Formule!K2,Formule!K3,Formule!K4,Formule!K5,Formule!K6)</f>
        <v>Xbar &amp; R</v>
      </c>
      <c r="Q7" s="372"/>
      <c r="R7" s="363" t="s">
        <v>0</v>
      </c>
      <c r="S7" s="364"/>
      <c r="T7" s="364"/>
      <c r="U7" s="364"/>
      <c r="V7" s="364"/>
      <c r="W7" s="364"/>
      <c r="X7" s="287">
        <f ca="1">IF(P5="","",Formule!T64+Formule!T65)</f>
        <v>0</v>
      </c>
      <c r="Y7" s="287">
        <f ca="1">IF(AH6="","",Formule!AA50+Formule!AA51)</f>
        <v>0</v>
      </c>
      <c r="Z7" s="287">
        <f ca="1">IF(P5="","",Formule!T66+Formule!T67)</f>
        <v>51</v>
      </c>
      <c r="AA7" s="285" t="e">
        <f>IF(#REF!="","",Formule!AC50+Formule!AC51)</f>
        <v>#REF!</v>
      </c>
      <c r="AB7" s="72" t="s">
        <v>110</v>
      </c>
      <c r="AC7" s="73"/>
      <c r="AD7" s="73"/>
      <c r="AE7" s="73"/>
      <c r="AF7" s="73"/>
      <c r="AG7" s="74"/>
      <c r="AH7" s="281">
        <f ca="1">IF(AH2="","",COUNTIF(C32:BA36,"&gt;"&amp;INDIRECT(Formule!S36)))</f>
        <v>0</v>
      </c>
      <c r="AI7" s="282"/>
      <c r="AJ7" s="73" t="s">
        <v>136</v>
      </c>
      <c r="AK7" s="73"/>
      <c r="AL7" s="73"/>
      <c r="AM7" s="73"/>
      <c r="AN7" s="73"/>
      <c r="AO7" s="74"/>
      <c r="AP7" s="226">
        <f>IF(P5="","",IF(K9=3,"N/A",IF(Formule!BC1=1,"N/A",(AH8-AH3)/(3*AH9/AP5))))</f>
        <v>0.68989249925518525</v>
      </c>
      <c r="AQ7" s="227"/>
      <c r="AZ7" s="127"/>
    </row>
    <row r="8" spans="1:149" ht="16.5" customHeight="1" thickBot="1" x14ac:dyDescent="0.3">
      <c r="A8" s="253" t="s">
        <v>219</v>
      </c>
      <c r="B8" s="254"/>
      <c r="C8" s="254"/>
      <c r="D8" s="254"/>
      <c r="E8" s="255"/>
      <c r="F8" s="358">
        <f ca="1">IF(P5="","",IF(AND(Formule!BC1=1,Formule!R15&gt;=1),"",MIN(Formule!AK7,Formule!AK8)))</f>
        <v>0.71638304645371942</v>
      </c>
      <c r="G8" s="359"/>
      <c r="H8" s="253" t="s">
        <v>216</v>
      </c>
      <c r="I8" s="254"/>
      <c r="J8" s="254"/>
      <c r="K8" s="254"/>
      <c r="L8" s="254"/>
      <c r="M8" s="255"/>
      <c r="N8" s="348">
        <f>IF(P5="","",IF(Formule!BC1=1,"N/A",MIN(AP6,AP7)))</f>
        <v>0.68989249925518525</v>
      </c>
      <c r="O8" s="349"/>
      <c r="P8" s="373"/>
      <c r="Q8" s="374"/>
      <c r="R8" s="365" t="s">
        <v>49</v>
      </c>
      <c r="S8" s="366"/>
      <c r="T8" s="366"/>
      <c r="U8" s="366"/>
      <c r="V8" s="366"/>
      <c r="W8" s="367"/>
      <c r="X8" s="285">
        <f>IF(P5="","",Formule!T80)</f>
        <v>1</v>
      </c>
      <c r="Y8" s="362">
        <f>Formule!Z67</f>
        <v>0</v>
      </c>
      <c r="Z8" s="285">
        <f>IF(P5="","",Formule!T82)</f>
        <v>2</v>
      </c>
      <c r="AA8" s="286"/>
      <c r="AB8" s="72" t="s">
        <v>212</v>
      </c>
      <c r="AC8" s="73"/>
      <c r="AD8" s="73"/>
      <c r="AE8" s="73"/>
      <c r="AF8" s="73"/>
      <c r="AG8" s="74"/>
      <c r="AH8" s="226">
        <f>IF(AH2="","",AVERAGE(C37:AA37,AC37:BA37))</f>
        <v>17.228586613750199</v>
      </c>
      <c r="AI8" s="229"/>
      <c r="AJ8" s="261" t="s">
        <v>134</v>
      </c>
      <c r="AK8" s="80"/>
      <c r="AL8" s="80"/>
      <c r="AM8" s="80"/>
      <c r="AN8" s="80"/>
      <c r="AO8" s="81"/>
      <c r="AP8" s="270">
        <f>IF(P5="","",IF(K9&lt;&gt;1,"N/A",IF(Formule!BC1=1,"N/A",(6*AH9/AP5)/(AH5-AH3))))</f>
        <v>0.41436330705235608</v>
      </c>
      <c r="AQ8" s="271"/>
      <c r="AZ8" s="127"/>
    </row>
    <row r="9" spans="1:149" ht="17.25" customHeight="1" thickBot="1" x14ac:dyDescent="0.35">
      <c r="A9" s="39"/>
      <c r="B9" s="40"/>
      <c r="C9" s="40"/>
      <c r="D9" s="41"/>
      <c r="E9" s="42"/>
      <c r="F9" s="43"/>
      <c r="G9" s="40"/>
      <c r="H9" s="40"/>
      <c r="I9" s="40"/>
      <c r="J9" s="40"/>
      <c r="K9" s="222">
        <v>1</v>
      </c>
      <c r="L9" s="39"/>
      <c r="M9" s="41"/>
      <c r="N9" s="44"/>
      <c r="O9" s="44"/>
      <c r="P9" s="44"/>
      <c r="Q9" s="44"/>
      <c r="R9" s="336" t="s">
        <v>50</v>
      </c>
      <c r="S9" s="337"/>
      <c r="T9" s="337"/>
      <c r="U9" s="337"/>
      <c r="V9" s="337"/>
      <c r="W9" s="338"/>
      <c r="X9" s="277">
        <f>IF(P5="","",Formule!T81)</f>
        <v>2</v>
      </c>
      <c r="Y9" s="344">
        <f>Formule!Z68</f>
        <v>0</v>
      </c>
      <c r="Z9" s="277">
        <f>IF(P5="","",Formule!T83)</f>
        <v>2</v>
      </c>
      <c r="AA9" s="278"/>
      <c r="AB9" s="264" t="s">
        <v>111</v>
      </c>
      <c r="AC9" s="265"/>
      <c r="AD9" s="265"/>
      <c r="AE9" s="265"/>
      <c r="AF9" s="265"/>
      <c r="AG9" s="266"/>
      <c r="AH9" s="267">
        <f>IF(AH2="","",AVERAGE(C38:BA38))</f>
        <v>3.2126968406793133E-2</v>
      </c>
      <c r="AI9" s="268"/>
      <c r="AJ9" s="70" t="s">
        <v>113</v>
      </c>
      <c r="AK9" s="70"/>
      <c r="AL9" s="70"/>
      <c r="AM9" s="70"/>
      <c r="AN9" s="70"/>
      <c r="AO9" s="71"/>
      <c r="AP9" s="224">
        <f>IF(P5="","",STDEV(C32:BA36))</f>
        <v>1.3301363421757337E-2</v>
      </c>
      <c r="AQ9" s="225"/>
      <c r="AZ9" s="127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</row>
    <row r="10" spans="1:149" ht="12.75" customHeight="1" x14ac:dyDescent="0.25">
      <c r="A10" s="46"/>
      <c r="B10" s="46"/>
      <c r="C10" s="47"/>
      <c r="D10" s="47"/>
      <c r="E10" s="46"/>
      <c r="F10" s="46"/>
      <c r="G10" s="47"/>
      <c r="H10" s="47"/>
      <c r="I10" s="46"/>
      <c r="J10" s="47"/>
      <c r="K10" s="47"/>
      <c r="M10" s="48"/>
      <c r="N10" s="48"/>
      <c r="O10" s="48"/>
      <c r="P10" s="48"/>
      <c r="Q10" s="48"/>
      <c r="R10" s="48"/>
      <c r="S10" s="48"/>
      <c r="T10" s="48"/>
      <c r="U10" s="48"/>
      <c r="V10" s="48"/>
      <c r="X10" s="49"/>
      <c r="Y10" s="49"/>
      <c r="Z10" s="49"/>
      <c r="AA10" s="49"/>
      <c r="AB10" s="115"/>
      <c r="AC10" s="115"/>
      <c r="AD10" s="105"/>
      <c r="AE10" s="105"/>
      <c r="AF10" s="115"/>
      <c r="AG10" s="115"/>
      <c r="AH10" s="105"/>
      <c r="AI10" s="105"/>
      <c r="AJ10" s="115"/>
      <c r="AK10" s="105"/>
      <c r="AL10" s="105"/>
      <c r="AM10" s="106"/>
      <c r="AN10" s="106"/>
      <c r="AO10" s="106"/>
      <c r="AP10" s="106"/>
      <c r="AQ10" s="106"/>
      <c r="AR10" s="106"/>
      <c r="AS10" s="106"/>
      <c r="AT10" s="106"/>
      <c r="AU10" s="106"/>
      <c r="AV10" s="106"/>
      <c r="AW10" s="106"/>
      <c r="AX10" s="106"/>
      <c r="AY10" s="107"/>
      <c r="AZ10" s="107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</row>
    <row r="11" spans="1:149" ht="10.5" customHeight="1" x14ac:dyDescent="0.25">
      <c r="B11" s="51"/>
      <c r="C11" s="345" t="str">
        <f>IF(Formule!$K$1=1,"AVE. Xbar =",IF(Formule!$K$1=2,"Xbar =",IF(Formule!$K$1=3,"AVE. Xbar =","")))</f>
        <v>AVE. Xbar =</v>
      </c>
      <c r="D11" s="312"/>
      <c r="E11" s="334">
        <f>IF(P5="","",Formule!U33)</f>
        <v>17.228586613750199</v>
      </c>
      <c r="F11" s="335"/>
      <c r="G11" s="339"/>
      <c r="H11" s="340"/>
      <c r="J11" s="331" t="s">
        <v>141</v>
      </c>
      <c r="K11" s="332"/>
      <c r="L11" s="329">
        <f>Formule!$X$33</f>
        <v>17.247152839795543</v>
      </c>
      <c r="M11" s="330"/>
      <c r="N11" s="339"/>
      <c r="O11" s="340"/>
      <c r="Q11" s="331" t="s">
        <v>140</v>
      </c>
      <c r="R11" s="332"/>
      <c r="S11" s="329">
        <f>Formule!$X34</f>
        <v>17.210020387704855</v>
      </c>
      <c r="T11" s="330"/>
      <c r="U11" s="339"/>
      <c r="V11" s="340"/>
      <c r="AA11" s="52" t="str">
        <f>IF(Formule!$K$1=1,"AVERAGE (X BAR CHART)",IF(Formule!$K$1=2,"INDIVIDUALS CHART",IF(Formule!$K$1=3,"MEDIANS","")))</f>
        <v>AVERAGE (X BAR CHART)</v>
      </c>
      <c r="AB11" s="106"/>
      <c r="AC11" s="108"/>
      <c r="AD11" s="128"/>
      <c r="AE11" s="128"/>
      <c r="AF11" s="129"/>
      <c r="AG11" s="129"/>
      <c r="AH11" s="130"/>
      <c r="AI11" s="130"/>
      <c r="AJ11" s="106"/>
      <c r="AK11" s="124"/>
      <c r="AL11" s="124"/>
      <c r="AM11" s="131"/>
      <c r="AN11" s="131"/>
      <c r="AO11" s="130"/>
      <c r="AP11" s="130"/>
      <c r="AQ11" s="106"/>
      <c r="AR11" s="124"/>
      <c r="AS11" s="124"/>
      <c r="AT11" s="131"/>
      <c r="AU11" s="131"/>
      <c r="AV11" s="130"/>
      <c r="AW11" s="130"/>
      <c r="AX11" s="106"/>
      <c r="AY11" s="106"/>
      <c r="AZ11" s="106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</row>
    <row r="12" spans="1:149" ht="0.75" hidden="1" customHeight="1" x14ac:dyDescent="0.25">
      <c r="B12" s="51"/>
      <c r="C12" s="51"/>
      <c r="D12" s="51"/>
      <c r="E12" s="51"/>
      <c r="F12" s="51"/>
      <c r="G12" s="51"/>
      <c r="H12" s="53"/>
      <c r="I12" s="54"/>
      <c r="AB12" s="106"/>
      <c r="AC12" s="108"/>
      <c r="AD12" s="108"/>
      <c r="AE12" s="108"/>
      <c r="AF12" s="108"/>
      <c r="AG12" s="108"/>
      <c r="AH12" s="108"/>
      <c r="AI12" s="109"/>
      <c r="AJ12" s="110"/>
      <c r="AK12" s="106"/>
      <c r="AL12" s="106"/>
      <c r="AM12" s="106"/>
      <c r="AN12" s="106"/>
      <c r="AO12" s="106"/>
      <c r="AP12" s="106"/>
      <c r="AQ12" s="106"/>
      <c r="AR12" s="106"/>
      <c r="AS12" s="106"/>
      <c r="AT12" s="106"/>
      <c r="AU12" s="106"/>
      <c r="AV12" s="106"/>
      <c r="AW12" s="106"/>
      <c r="AX12" s="106"/>
      <c r="AY12" s="106"/>
      <c r="AZ12" s="106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</row>
    <row r="13" spans="1:149" ht="0.75" hidden="1" customHeight="1" x14ac:dyDescent="0.25">
      <c r="B13" s="51"/>
      <c r="C13" s="51"/>
      <c r="D13" s="51"/>
      <c r="E13" s="51"/>
      <c r="F13" s="51"/>
      <c r="G13" s="51"/>
      <c r="H13" s="53"/>
      <c r="I13" s="54"/>
      <c r="AB13" s="106"/>
      <c r="AC13" s="108"/>
      <c r="AD13" s="108"/>
      <c r="AE13" s="108"/>
      <c r="AF13" s="108"/>
      <c r="AG13" s="108"/>
      <c r="AH13" s="108"/>
      <c r="AI13" s="109"/>
      <c r="AJ13" s="110"/>
      <c r="AK13" s="106"/>
      <c r="AL13" s="106"/>
      <c r="AM13" s="106"/>
      <c r="AN13" s="106"/>
      <c r="AO13" s="106"/>
      <c r="AP13" s="106"/>
      <c r="AQ13" s="106"/>
      <c r="AR13" s="106"/>
      <c r="AS13" s="106"/>
      <c r="AT13" s="106"/>
      <c r="AU13" s="106"/>
      <c r="AV13" s="106"/>
      <c r="AW13" s="106"/>
      <c r="AX13" s="106"/>
      <c r="AY13" s="106"/>
      <c r="AZ13" s="106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</row>
    <row r="14" spans="1:149" x14ac:dyDescent="0.25">
      <c r="B14" s="51"/>
      <c r="C14" s="51"/>
      <c r="D14" s="51"/>
      <c r="E14" s="51"/>
      <c r="F14" s="51"/>
      <c r="G14" s="51"/>
      <c r="H14" s="53"/>
      <c r="I14" s="54"/>
      <c r="AB14" s="106"/>
      <c r="AC14" s="108"/>
      <c r="AD14" s="108"/>
      <c r="AE14" s="108"/>
      <c r="AF14" s="108"/>
      <c r="AG14" s="108"/>
      <c r="AH14" s="108"/>
      <c r="AI14" s="109"/>
      <c r="AJ14" s="110"/>
      <c r="AK14" s="106"/>
      <c r="AL14" s="106"/>
      <c r="AM14" s="106"/>
      <c r="AN14" s="106"/>
      <c r="AO14" s="106"/>
      <c r="AP14" s="106"/>
      <c r="AQ14" s="106"/>
      <c r="AR14" s="106"/>
      <c r="AS14" s="106"/>
      <c r="AT14" s="106"/>
      <c r="AU14" s="106"/>
      <c r="AV14" s="106"/>
      <c r="AW14" s="106"/>
      <c r="AX14" s="106"/>
      <c r="AY14" s="106"/>
      <c r="AZ14" s="106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</row>
    <row r="15" spans="1:149" x14ac:dyDescent="0.25">
      <c r="B15" s="51"/>
      <c r="C15" s="51"/>
      <c r="D15" s="51"/>
      <c r="E15" s="51"/>
      <c r="F15" s="51"/>
      <c r="G15" s="51"/>
      <c r="H15" s="53"/>
      <c r="I15" s="54"/>
      <c r="AB15" s="106"/>
      <c r="AC15" s="108"/>
      <c r="AD15" s="108"/>
      <c r="AE15" s="108"/>
      <c r="AF15" s="108"/>
      <c r="AG15" s="108"/>
      <c r="AH15" s="108"/>
      <c r="AI15" s="109"/>
      <c r="AJ15" s="110"/>
      <c r="AK15" s="106"/>
      <c r="AL15" s="106"/>
      <c r="AM15" s="106"/>
      <c r="AN15" s="106"/>
      <c r="AO15" s="106"/>
      <c r="AP15" s="106"/>
      <c r="AQ15" s="106"/>
      <c r="AR15" s="106"/>
      <c r="AS15" s="106"/>
      <c r="AT15" s="106"/>
      <c r="AU15" s="106"/>
      <c r="AV15" s="106"/>
      <c r="AW15" s="106"/>
      <c r="AX15" s="106"/>
      <c r="AY15" s="106"/>
      <c r="AZ15" s="106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</row>
    <row r="16" spans="1:149" x14ac:dyDescent="0.25">
      <c r="B16" s="51"/>
      <c r="C16" s="51"/>
      <c r="D16" s="51"/>
      <c r="E16" s="51"/>
      <c r="F16" s="51"/>
      <c r="G16" s="51"/>
      <c r="H16" s="53"/>
      <c r="I16" s="54"/>
      <c r="AB16" s="106"/>
      <c r="AC16" s="108"/>
      <c r="AD16" s="108"/>
      <c r="AE16" s="108"/>
      <c r="AF16" s="108"/>
      <c r="AG16" s="108"/>
      <c r="AH16" s="108"/>
      <c r="AI16" s="109"/>
      <c r="AJ16" s="110"/>
      <c r="AK16" s="106"/>
      <c r="AL16" s="106"/>
      <c r="AM16" s="106"/>
      <c r="AN16" s="106"/>
      <c r="AO16" s="106"/>
      <c r="AP16" s="106"/>
      <c r="AQ16" s="106"/>
      <c r="AR16" s="106"/>
      <c r="AS16" s="106"/>
      <c r="AT16" s="106"/>
      <c r="AU16" s="106"/>
      <c r="AV16" s="106"/>
      <c r="AW16" s="106"/>
      <c r="AX16" s="106"/>
      <c r="AY16" s="106"/>
      <c r="AZ16" s="106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</row>
    <row r="17" spans="1:149" x14ac:dyDescent="0.25">
      <c r="B17" s="51"/>
      <c r="C17" s="51"/>
      <c r="D17" s="51"/>
      <c r="E17" s="51"/>
      <c r="F17" s="51"/>
      <c r="G17" s="51"/>
      <c r="H17" s="53"/>
      <c r="I17" s="54"/>
      <c r="AB17" s="106"/>
      <c r="AC17" s="108"/>
      <c r="AD17" s="108"/>
      <c r="AE17" s="108"/>
      <c r="AF17" s="108"/>
      <c r="AG17" s="108"/>
      <c r="AH17" s="108"/>
      <c r="AI17" s="109"/>
      <c r="AJ17" s="110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</row>
    <row r="18" spans="1:149" x14ac:dyDescent="0.25">
      <c r="B18" s="51"/>
      <c r="C18" s="51"/>
      <c r="D18" s="51"/>
      <c r="E18" s="51"/>
      <c r="F18" s="51"/>
      <c r="G18" s="51"/>
      <c r="H18" s="53"/>
      <c r="I18" s="54"/>
      <c r="AB18" s="106"/>
      <c r="AC18" s="108"/>
      <c r="AD18" s="108"/>
      <c r="AE18" s="108"/>
      <c r="AF18" s="108"/>
      <c r="AG18" s="108"/>
      <c r="AH18" s="108"/>
      <c r="AI18" s="109"/>
      <c r="AJ18" s="110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</row>
    <row r="19" spans="1:149" x14ac:dyDescent="0.25">
      <c r="B19" s="51"/>
      <c r="C19" s="51"/>
      <c r="D19" s="51"/>
      <c r="E19" s="51"/>
      <c r="F19" s="51"/>
      <c r="G19" s="51"/>
      <c r="H19" s="53"/>
      <c r="I19" s="54"/>
      <c r="AB19" s="106"/>
      <c r="AC19" s="108"/>
      <c r="AD19" s="108"/>
      <c r="AE19" s="108"/>
      <c r="AF19" s="108"/>
      <c r="AG19" s="108"/>
      <c r="AH19" s="108"/>
      <c r="AI19" s="109"/>
      <c r="AJ19" s="110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</row>
    <row r="20" spans="1:149" ht="58.5" customHeight="1" x14ac:dyDescent="0.25">
      <c r="B20" s="51"/>
      <c r="C20" s="51"/>
      <c r="D20" s="51"/>
      <c r="E20" s="51"/>
      <c r="F20" s="51"/>
      <c r="G20" s="51"/>
      <c r="H20" s="53"/>
      <c r="I20" s="54"/>
      <c r="AB20" s="106"/>
      <c r="AC20" s="108"/>
      <c r="AD20" s="108"/>
      <c r="AE20" s="108"/>
      <c r="AF20" s="108"/>
      <c r="AG20" s="108"/>
      <c r="AH20" s="108"/>
      <c r="AI20" s="109"/>
      <c r="AJ20" s="110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</row>
    <row r="21" spans="1:149" ht="12.75" customHeight="1" x14ac:dyDescent="0.25">
      <c r="B21" s="51"/>
      <c r="C21" s="345" t="str">
        <f>IF(Formule!$K$1=1,"AVE. R =",IF(Formule!$K$1=2,"AVE. MR =",IF(Formule!$K$1=3,"AVE. R =","")))</f>
        <v>AVE. R =</v>
      </c>
      <c r="D21" s="312"/>
      <c r="E21" s="334">
        <f>IF(P5="","",Formule!U35)</f>
        <v>3.2177168189505639E-2</v>
      </c>
      <c r="F21" s="335"/>
      <c r="G21" s="339"/>
      <c r="H21" s="340"/>
      <c r="J21" s="331" t="s">
        <v>141</v>
      </c>
      <c r="K21" s="332"/>
      <c r="L21" s="329">
        <f>Formule!$X$35</f>
        <v>6.8022533552614922E-2</v>
      </c>
      <c r="M21" s="330"/>
      <c r="N21" s="339"/>
      <c r="O21" s="340"/>
      <c r="Q21" s="331" t="s">
        <v>140</v>
      </c>
      <c r="R21" s="332"/>
      <c r="S21" s="329">
        <f>Formule!$X$36</f>
        <v>0</v>
      </c>
      <c r="T21" s="330"/>
      <c r="U21" s="339"/>
      <c r="V21" s="340"/>
      <c r="AA21" s="52" t="str">
        <f>IF(Formule!$K$1=1,"RANGES (R CHART)",IF(Formule!$K$1=2,"MOVING RANGES (MR CHART)",IF(Formule!$K$1=3,"RANGES (R CHART)","")))</f>
        <v>RANGES (R CHART)</v>
      </c>
      <c r="AB21" s="106"/>
      <c r="AC21" s="108"/>
      <c r="AD21" s="129"/>
      <c r="AE21" s="128"/>
      <c r="AF21" s="129"/>
      <c r="AG21" s="129"/>
      <c r="AH21" s="130"/>
      <c r="AI21" s="130"/>
      <c r="AJ21" s="106"/>
      <c r="AK21" s="124"/>
      <c r="AL21" s="124"/>
      <c r="AM21" s="131"/>
      <c r="AN21" s="131"/>
      <c r="AO21" s="130"/>
      <c r="AP21" s="130"/>
      <c r="AQ21" s="106"/>
      <c r="AR21" s="125"/>
      <c r="AS21" s="125"/>
      <c r="AT21" s="125"/>
      <c r="AU21" s="125"/>
      <c r="AV21" s="130"/>
      <c r="AW21" s="130"/>
      <c r="AX21" s="106"/>
      <c r="AY21" s="106"/>
      <c r="AZ21" s="106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</row>
    <row r="22" spans="1:149" ht="8.25" customHeight="1" x14ac:dyDescent="0.25">
      <c r="B22" s="51"/>
      <c r="C22" s="51"/>
      <c r="D22" s="51"/>
      <c r="E22" s="51"/>
      <c r="F22" s="51"/>
      <c r="G22" s="51"/>
      <c r="H22" s="53"/>
      <c r="I22" s="55"/>
      <c r="J22" s="55"/>
      <c r="K22" s="55"/>
      <c r="AB22" s="106"/>
      <c r="AC22" s="108"/>
      <c r="AD22" s="108"/>
      <c r="AE22" s="108"/>
      <c r="AF22" s="108"/>
      <c r="AG22" s="108"/>
      <c r="AH22" s="108"/>
      <c r="AI22" s="109"/>
      <c r="AJ22" s="111"/>
      <c r="AK22" s="111"/>
      <c r="AL22" s="111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</row>
    <row r="23" spans="1:149" hidden="1" x14ac:dyDescent="0.25">
      <c r="B23" s="51"/>
      <c r="C23" s="51"/>
      <c r="D23" s="51"/>
      <c r="E23" s="51"/>
      <c r="F23" s="51"/>
      <c r="G23" s="51"/>
      <c r="H23" s="53"/>
      <c r="I23" s="55"/>
      <c r="J23" s="55"/>
      <c r="K23" s="55"/>
      <c r="AB23" s="106"/>
      <c r="AC23" s="108"/>
      <c r="AD23" s="108"/>
      <c r="AE23" s="108"/>
      <c r="AF23" s="108"/>
      <c r="AG23" s="108"/>
      <c r="AH23" s="108"/>
      <c r="AI23" s="109"/>
      <c r="AJ23" s="111"/>
      <c r="AK23" s="111"/>
      <c r="AL23" s="111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</row>
    <row r="24" spans="1:149" x14ac:dyDescent="0.25">
      <c r="B24" s="51"/>
      <c r="C24" s="51"/>
      <c r="D24" s="51"/>
      <c r="H24" s="53"/>
      <c r="I24" s="55"/>
      <c r="J24" s="55"/>
      <c r="K24" s="55"/>
      <c r="AB24" s="106"/>
      <c r="AC24" s="108"/>
      <c r="AD24" s="108"/>
      <c r="AE24" s="108"/>
      <c r="AF24" s="106"/>
      <c r="AG24" s="106"/>
      <c r="AH24" s="106"/>
      <c r="AI24" s="109"/>
      <c r="AJ24" s="111"/>
      <c r="AK24" s="111"/>
      <c r="AL24" s="111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</row>
    <row r="25" spans="1:149" x14ac:dyDescent="0.25">
      <c r="B25" s="51"/>
      <c r="C25" s="51"/>
      <c r="D25" s="51"/>
      <c r="E25" s="51"/>
      <c r="F25" s="51"/>
      <c r="G25" s="51"/>
      <c r="H25" s="53"/>
      <c r="I25" s="55"/>
      <c r="J25" s="55"/>
      <c r="K25" s="55"/>
      <c r="AB25" s="106"/>
      <c r="AC25" s="108"/>
      <c r="AD25" s="108"/>
      <c r="AE25" s="108"/>
      <c r="AF25" s="108"/>
      <c r="AG25" s="108"/>
      <c r="AH25" s="108"/>
      <c r="AI25" s="109"/>
      <c r="AJ25" s="111"/>
      <c r="AK25" s="111"/>
      <c r="AL25" s="111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</row>
    <row r="26" spans="1:149" x14ac:dyDescent="0.25">
      <c r="B26" s="51"/>
      <c r="C26" s="51"/>
      <c r="D26" s="51"/>
      <c r="E26" s="51"/>
      <c r="F26" s="51"/>
      <c r="G26" s="51"/>
      <c r="H26" s="53"/>
      <c r="I26" s="54"/>
      <c r="AB26" s="106"/>
      <c r="AC26" s="108"/>
      <c r="AD26" s="108"/>
      <c r="AE26" s="108"/>
      <c r="AF26" s="108"/>
      <c r="AG26" s="108"/>
      <c r="AH26" s="108"/>
      <c r="AI26" s="109"/>
      <c r="AJ26" s="110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</row>
    <row r="27" spans="1:149" x14ac:dyDescent="0.25">
      <c r="B27" s="51"/>
      <c r="C27" s="51"/>
      <c r="D27" s="51"/>
      <c r="E27" s="51"/>
      <c r="F27" s="51"/>
      <c r="G27" s="51"/>
      <c r="H27" s="53"/>
      <c r="I27" s="54"/>
      <c r="AB27" s="106"/>
      <c r="AC27" s="108"/>
      <c r="AD27" s="108"/>
      <c r="AE27" s="108"/>
      <c r="AF27" s="108"/>
      <c r="AG27" s="108"/>
      <c r="AH27" s="108"/>
      <c r="AI27" s="109"/>
      <c r="AJ27" s="110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EC27" s="12"/>
      <c r="ED27" s="12"/>
      <c r="EE27" s="12"/>
      <c r="EF27" s="12"/>
      <c r="EG27" s="12"/>
      <c r="EH27" s="12"/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</row>
    <row r="28" spans="1:149" x14ac:dyDescent="0.25">
      <c r="B28" s="51"/>
      <c r="C28" s="51"/>
      <c r="D28" s="51"/>
      <c r="E28" s="51"/>
      <c r="F28" s="51"/>
      <c r="G28" s="51"/>
      <c r="H28" s="53"/>
      <c r="I28" s="54"/>
      <c r="AB28" s="106"/>
      <c r="AC28" s="108"/>
      <c r="AD28" s="108"/>
      <c r="AE28" s="108"/>
      <c r="AF28" s="108"/>
      <c r="AG28" s="108"/>
      <c r="AH28" s="108"/>
      <c r="AI28" s="109"/>
      <c r="AJ28" s="110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EC28" s="12"/>
      <c r="ED28" s="12"/>
      <c r="EE28" s="12"/>
      <c r="EF28" s="12"/>
      <c r="EG28" s="12"/>
      <c r="EH28" s="12"/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</row>
    <row r="29" spans="1:149" ht="49.5" customHeight="1" x14ac:dyDescent="0.25">
      <c r="B29" s="51"/>
      <c r="C29" s="51"/>
      <c r="D29" s="51"/>
      <c r="E29" s="51"/>
      <c r="F29" s="51"/>
      <c r="G29" s="51"/>
      <c r="H29" s="53"/>
      <c r="I29" s="54"/>
      <c r="AB29" s="106"/>
      <c r="AC29" s="108"/>
      <c r="AD29" s="108"/>
      <c r="AE29" s="108"/>
      <c r="AF29" s="108"/>
      <c r="AG29" s="108"/>
      <c r="AH29" s="108"/>
      <c r="AI29" s="109"/>
      <c r="AJ29" s="110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EC29" s="12"/>
      <c r="ED29" s="12"/>
      <c r="EE29" s="12"/>
      <c r="EF29" s="12"/>
      <c r="EG29" s="12"/>
      <c r="EH29" s="12"/>
      <c r="EI29" s="12"/>
      <c r="EJ29" s="12"/>
      <c r="EK29" s="12"/>
      <c r="EL29" s="12"/>
      <c r="EM29" s="12"/>
      <c r="EN29" s="12"/>
      <c r="EO29" s="12"/>
      <c r="EP29" s="12"/>
      <c r="EQ29" s="12"/>
      <c r="ER29" s="12"/>
      <c r="ES29" s="12"/>
    </row>
    <row r="30" spans="1:149" ht="13.8" thickBot="1" x14ac:dyDescent="0.3">
      <c r="B30" s="58"/>
      <c r="C30" s="59" t="str">
        <f>IF(Formule!BD1=5,"1",IF(C32="","","1"))</f>
        <v>1</v>
      </c>
      <c r="D30" s="59" t="str">
        <f>IF(Formule!BE1=5,"2",IF(D32="","","2"))</f>
        <v>2</v>
      </c>
      <c r="E30" s="59" t="str">
        <f>IF(Formule!BF1=5,"3",IF(E32="","","3"))</f>
        <v>3</v>
      </c>
      <c r="F30" s="59" t="str">
        <f>IF(Formule!BG1=5,"4",IF(F32="","","4"))</f>
        <v>4</v>
      </c>
      <c r="G30" s="59" t="str">
        <f>IF(Formule!BH1=5,"5",IF(G32="","","5"))</f>
        <v>5</v>
      </c>
      <c r="H30" s="59" t="str">
        <f>IF(Formule!BI1=5,"6",IF(H32="","","6"))</f>
        <v>6</v>
      </c>
      <c r="I30" s="59" t="str">
        <f>IF(Formule!BJ1=5,"7",IF(I32="","","7"))</f>
        <v>7</v>
      </c>
      <c r="J30" s="59" t="str">
        <f>IF(Formule!BK1=5,"8",IF(J32="","","8"))</f>
        <v>8</v>
      </c>
      <c r="K30" s="59" t="str">
        <f>IF(Formule!BL1=5,"9",IF(K32="","","9"))</f>
        <v>9</v>
      </c>
      <c r="L30" s="59" t="str">
        <f>IF(Formule!BM1=5,"10",IF(L32="","","10"))</f>
        <v>10</v>
      </c>
      <c r="M30" s="59" t="str">
        <f>IF(Formule!BN1=5,"11",IF(M32="","","11"))</f>
        <v>11</v>
      </c>
      <c r="N30" s="59" t="str">
        <f>IF(Formule!BO1=5,"12",IF(N32="","","12"))</f>
        <v>12</v>
      </c>
      <c r="O30" s="59" t="str">
        <f>IF(Formule!BP1=5,"13",IF(O32="","","13"))</f>
        <v>13</v>
      </c>
      <c r="P30" s="59" t="str">
        <f>IF(Formule!BQ1=5,"14",IF(P32="","","14"))</f>
        <v>14</v>
      </c>
      <c r="Q30" s="59" t="str">
        <f>IF(Formule!BR1=5,"15",IF(Q32="","","15"))</f>
        <v>15</v>
      </c>
      <c r="R30" s="59" t="str">
        <f>IF(Formule!BS1=5,"16",IF(R32="","","16"))</f>
        <v>16</v>
      </c>
      <c r="S30" s="59" t="str">
        <f>IF(Formule!BT1=5,"17",IF(S32="","","17"))</f>
        <v>17</v>
      </c>
      <c r="T30" s="59" t="str">
        <f>IF(Formule!BU1=5,"18",IF(T32="","","18"))</f>
        <v>18</v>
      </c>
      <c r="U30" s="59" t="str">
        <f>IF(Formule!BV1=5,"19",IF(U32="","","19"))</f>
        <v>19</v>
      </c>
      <c r="V30" s="59" t="str">
        <f>IF(Formule!BW1=5,"20",IF(V32="","","20"))</f>
        <v>20</v>
      </c>
      <c r="W30" s="59" t="str">
        <f>IF(Formule!BX1=5,"21",IF(W32="","","21"))</f>
        <v>21</v>
      </c>
      <c r="X30" s="59" t="str">
        <f>IF(Formule!BY1=5,"22",IF(X32="","","22"))</f>
        <v>22</v>
      </c>
      <c r="Y30" s="59" t="str">
        <f>IF(Formule!BZ1=5,"23",IF(Y32="","","24"))</f>
        <v>23</v>
      </c>
      <c r="Z30" s="59" t="str">
        <f>IF(Formule!CA1=5,"24",IF(Z32="","","25"))</f>
        <v>24</v>
      </c>
      <c r="AA30" s="59" t="str">
        <f>IF(Formule!CB1=5,"25",IF(AA32="","","25"))</f>
        <v>25</v>
      </c>
      <c r="AB30" s="59" t="str">
        <f>IF(Formule!CC1=5,"26",IF(AB32="","","26"))</f>
        <v>26</v>
      </c>
      <c r="AC30" s="59" t="str">
        <f>IF(Formule!CD1=5,"27",IF(AC32="","","27"))</f>
        <v>27</v>
      </c>
      <c r="AD30" s="59" t="str">
        <f>IF(Formule!CE1=5,"28",IF(AD32="","","28"))</f>
        <v>28</v>
      </c>
      <c r="AE30" s="59" t="str">
        <f>IF(Formule!CF1=5,"29",IF(AE32="","","29"))</f>
        <v>29</v>
      </c>
      <c r="AF30" s="59" t="str">
        <f>IF(Formule!CG1=5,"30",IF(AF32="","","30"))</f>
        <v>30</v>
      </c>
      <c r="AG30" s="59" t="str">
        <f>IF(Formule!CH1=5,"31",IF(AG32="","","31"))</f>
        <v>31</v>
      </c>
      <c r="AH30" s="59" t="str">
        <f>IF(Formule!CI1=5,"32",IF(AH32="","","32"))</f>
        <v>32</v>
      </c>
      <c r="AI30" s="59" t="str">
        <f>IF(Formule!CJ1=5,"33",IF(AI32="","","33"))</f>
        <v>33</v>
      </c>
      <c r="AJ30" s="59" t="str">
        <f>IF(Formule!CK1=5,"34",IF(AJ32="","","35"))</f>
        <v>34</v>
      </c>
      <c r="AK30" s="59" t="str">
        <f>IF(Formule!CL1=5,"35",IF(AK32="","","36"))</f>
        <v>35</v>
      </c>
      <c r="AL30" s="59" t="str">
        <f>IF(Formule!CM1=5,"36",IF(AL32="","","36"))</f>
        <v>36</v>
      </c>
      <c r="AM30" s="59" t="str">
        <f>IF(Formule!CN1=5,"37",IF(AM32="","","37"))</f>
        <v>37</v>
      </c>
      <c r="AN30" s="59" t="str">
        <f>IF(Formule!CO1=5,"38",IF(AN32="","","38"))</f>
        <v>38</v>
      </c>
      <c r="AO30" s="59" t="str">
        <f>IF(Formule!CP1=5,"39",IF(AO32="","","39"))</f>
        <v>39</v>
      </c>
      <c r="AP30" s="59" t="str">
        <f>IF(Formule!CQ1=5,"40",IF(AP32="","","40"))</f>
        <v>40</v>
      </c>
      <c r="AQ30" s="59" t="str">
        <f>IF(Formule!CR1=5,"41",IF(AQ32="","","41"))</f>
        <v>41</v>
      </c>
      <c r="AR30" s="59" t="str">
        <f>IF(Formule!CS1=5,"42",IF(AR32="","","42"))</f>
        <v>42</v>
      </c>
      <c r="AS30" s="59" t="str">
        <f>IF(Formule!CT1=5,"43",IF(AS32="","","43"))</f>
        <v>43</v>
      </c>
      <c r="AT30" s="59" t="str">
        <f>IF(Formule!CU1=5,"44",IF(AT32="","","45"))</f>
        <v>44</v>
      </c>
      <c r="AU30" s="59" t="str">
        <f>IF(Formule!CV1=5,"45",IF(AU32="","","45"))</f>
        <v>45</v>
      </c>
      <c r="AV30" s="59" t="str">
        <f>IF(Formule!CW1=5,"46",IF(AV32="","","47"))</f>
        <v>46</v>
      </c>
      <c r="AW30" s="59" t="str">
        <f>IF(Formule!CX1=5,"47",IF(AW32="","","47"))</f>
        <v>47</v>
      </c>
      <c r="AX30" s="59" t="str">
        <f>IF(Formule!CY1=5,"48",IF(AX32="","","48"))</f>
        <v>48</v>
      </c>
      <c r="AY30" s="59" t="str">
        <f>IF(Formule!CZ1=5,"49",IF(AY32="","","49"))</f>
        <v>49</v>
      </c>
      <c r="AZ30" s="59" t="str">
        <f>IF(Formule!DA1=5,"50",IF(AZ32="","","50"))</f>
        <v>50</v>
      </c>
      <c r="BA30" s="59" t="str">
        <f>IF(Formule!DB1=5,"51",IF(BA32="","","51"))</f>
        <v>51</v>
      </c>
      <c r="BB30" s="59" t="str">
        <f>IF(Formule!DC1=5,"1",IF(BB32="","","1"))</f>
        <v>1</v>
      </c>
      <c r="BC30" s="59" t="str">
        <f>IF(Formule!DD1=5,"1",IF(BC32="","","1"))</f>
        <v>1</v>
      </c>
      <c r="BD30" s="59" t="str">
        <f>IF(Formule!DE1=5,"1",IF(BD32="","","1"))</f>
        <v>1</v>
      </c>
      <c r="BE30" s="59" t="str">
        <f>IF(Formule!DF1=5,"1",IF(BE32="","","1"))</f>
        <v>1</v>
      </c>
      <c r="BF30" s="59" t="str">
        <f>IF(Formule!DG1=5,"1",IF(BF32="","","1"))</f>
        <v>1</v>
      </c>
      <c r="BG30" s="59" t="str">
        <f>IF(Formule!DH1=5,"1",IF(BG32="","","1"))</f>
        <v>1</v>
      </c>
      <c r="BH30" s="59" t="str">
        <f>IF(Formule!DI1=5,"1",IF(BH32="","","1"))</f>
        <v>1</v>
      </c>
      <c r="BI30" s="59" t="str">
        <f>IF(Formule!DJ1=5,"1",IF(BI32="","","1"))</f>
        <v>1</v>
      </c>
      <c r="BJ30" s="59" t="str">
        <f>IF(Formule!DK1=5,"1",IF(BJ32="","","1"))</f>
        <v>1</v>
      </c>
      <c r="BK30" s="59" t="str">
        <f>IF(Formule!DL1=5,"1",IF(BK32="","","1"))</f>
        <v>1</v>
      </c>
      <c r="BL30" s="59" t="str">
        <f>IF(Formule!DM1=5,"1",IF(BL32="","","1"))</f>
        <v>1</v>
      </c>
      <c r="BM30" s="59" t="str">
        <f>IF(Formule!DN1=5,"1",IF(BM32="","","1"))</f>
        <v>1</v>
      </c>
      <c r="BN30" s="59" t="str">
        <f>IF(Formule!DO1=5,"1",IF(BN32="","","1"))</f>
        <v>1</v>
      </c>
      <c r="BO30" s="59" t="str">
        <f>IF(Formule!DP1=5,"1",IF(BO32="","","1"))</f>
        <v>1</v>
      </c>
      <c r="BP30" s="59" t="str">
        <f>IF(Formule!DQ1=5,"1",IF(BP32="","","1"))</f>
        <v>1</v>
      </c>
      <c r="BQ30" s="59" t="str">
        <f>IF(Formule!DR1=5,"1",IF(BQ32="","","1"))</f>
        <v>1</v>
      </c>
      <c r="BR30" s="59" t="str">
        <f>IF(Formule!DS1=5,"1",IF(BR32="","","1"))</f>
        <v>1</v>
      </c>
      <c r="BS30" s="59" t="str">
        <f>IF(Formule!DT1=5,"1",IF(BS32="","","1"))</f>
        <v>1</v>
      </c>
      <c r="BT30" s="59" t="str">
        <f>IF(Formule!DU1=5,"1",IF(BT32="","","1"))</f>
        <v>1</v>
      </c>
      <c r="BU30" s="59" t="str">
        <f>IF(Formule!DV1=5,"1",IF(BU32="","","1"))</f>
        <v>1</v>
      </c>
      <c r="BV30" s="112" t="str">
        <f>IF(Formule!DW1=5,"1",IF(BV32="","","1"))</f>
        <v>1</v>
      </c>
      <c r="BW30" s="219" t="str">
        <f>IF(Formule!DX1=5,"1",IF(BW32="","","1"))</f>
        <v/>
      </c>
      <c r="EC30" s="12"/>
      <c r="ED30" s="12"/>
      <c r="EE30" s="12"/>
      <c r="EF30" s="12"/>
      <c r="EG30" s="12"/>
      <c r="EH30" s="12"/>
      <c r="EI30" s="12"/>
      <c r="EJ30" s="12"/>
      <c r="EK30" s="12"/>
      <c r="EL30" s="12"/>
      <c r="EM30" s="12"/>
      <c r="EN30" s="12"/>
      <c r="EO30" s="12"/>
      <c r="EP30" s="12"/>
      <c r="EQ30" s="12"/>
      <c r="ER30" s="12"/>
      <c r="ES30" s="12"/>
    </row>
    <row r="31" spans="1:149" ht="13.8" thickBot="1" x14ac:dyDescent="0.3">
      <c r="A31" s="350" t="s">
        <v>190</v>
      </c>
      <c r="B31" s="350"/>
      <c r="C31" s="60"/>
      <c r="D31" s="60"/>
      <c r="E31" s="60"/>
      <c r="F31" s="60"/>
      <c r="G31" s="60"/>
      <c r="H31" s="60"/>
      <c r="I31" s="60"/>
      <c r="J31" s="60"/>
      <c r="K31" s="60"/>
      <c r="L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  <c r="Y31" s="60"/>
      <c r="Z31" s="60"/>
      <c r="AA31" s="113"/>
      <c r="AB31" s="113"/>
      <c r="AC31" s="113"/>
      <c r="AD31" s="113"/>
      <c r="AE31" s="113"/>
      <c r="AF31" s="113"/>
      <c r="AG31" s="113"/>
      <c r="AH31" s="113"/>
      <c r="AI31" s="113"/>
      <c r="AJ31" s="113"/>
      <c r="AK31" s="113"/>
      <c r="AL31" s="113"/>
      <c r="AM31" s="113"/>
      <c r="AN31" s="113"/>
      <c r="AO31" s="113"/>
      <c r="AP31" s="113"/>
      <c r="AQ31" s="113"/>
      <c r="AR31" s="113"/>
      <c r="AS31" s="113"/>
      <c r="AT31" s="113"/>
      <c r="AU31" s="113"/>
      <c r="AV31" s="113"/>
      <c r="AW31" s="113"/>
      <c r="AX31" s="113"/>
      <c r="AY31" s="113"/>
      <c r="AZ31" s="113"/>
      <c r="BA31" s="113"/>
      <c r="BB31" s="113"/>
      <c r="BC31" s="113"/>
      <c r="BD31" s="113"/>
      <c r="BE31" s="113"/>
      <c r="BF31" s="113"/>
      <c r="BG31" s="113"/>
      <c r="BH31" s="113"/>
      <c r="BI31" s="113"/>
      <c r="BJ31" s="113"/>
      <c r="BK31" s="113"/>
      <c r="BL31" s="113"/>
      <c r="BM31" s="113"/>
      <c r="BN31" s="113"/>
      <c r="BO31" s="113"/>
      <c r="BP31" s="113"/>
      <c r="BQ31" s="113"/>
      <c r="BR31" s="113"/>
      <c r="BS31" s="113"/>
      <c r="BT31" s="113"/>
      <c r="BU31" s="113"/>
      <c r="BV31" s="113"/>
      <c r="BW31" s="220"/>
      <c r="EC31" s="12"/>
      <c r="ED31" s="12"/>
      <c r="EE31" s="12"/>
      <c r="EF31" s="12"/>
      <c r="EG31" s="12"/>
      <c r="EH31" s="12"/>
      <c r="EI31" s="12"/>
      <c r="EJ31" s="12"/>
      <c r="EK31" s="12"/>
      <c r="EL31" s="12"/>
      <c r="EM31" s="12"/>
      <c r="EN31" s="12"/>
      <c r="EO31" s="12"/>
      <c r="EP31" s="12"/>
      <c r="EQ31" s="12"/>
      <c r="ER31" s="12"/>
      <c r="ES31" s="12"/>
    </row>
    <row r="32" spans="1:149" x14ac:dyDescent="0.25">
      <c r="A32" s="318" t="s">
        <v>1</v>
      </c>
      <c r="B32" s="61" t="str">
        <f>IF($P$5="","","1")</f>
        <v>1</v>
      </c>
      <c r="C32" s="269">
        <v>17.220028664169543</v>
      </c>
      <c r="D32" s="269">
        <v>17.240653196154813</v>
      </c>
      <c r="E32" s="269">
        <v>17.232388684200718</v>
      </c>
      <c r="F32" s="269">
        <v>17.228710381748794</v>
      </c>
      <c r="G32" s="269">
        <v>17.220028664169543</v>
      </c>
      <c r="H32" s="269">
        <v>17.240653196154813</v>
      </c>
      <c r="I32" s="269">
        <v>17.232388684200718</v>
      </c>
      <c r="J32" s="269">
        <v>17.228710381748794</v>
      </c>
      <c r="K32" s="269">
        <v>17.220028664169543</v>
      </c>
      <c r="L32" s="269">
        <v>17.240653196154813</v>
      </c>
      <c r="M32" s="269">
        <v>17.232388684200718</v>
      </c>
      <c r="N32" s="269">
        <v>17.228710381748794</v>
      </c>
      <c r="O32" s="269">
        <v>17.220028664169543</v>
      </c>
      <c r="P32" s="269">
        <v>17.240653196154813</v>
      </c>
      <c r="Q32" s="269">
        <v>17.232388684200718</v>
      </c>
      <c r="R32" s="269">
        <v>17.228710381748794</v>
      </c>
      <c r="S32" s="269">
        <v>17.220028664169543</v>
      </c>
      <c r="T32" s="269">
        <v>17.240653196154813</v>
      </c>
      <c r="U32" s="269">
        <v>17.232388684200718</v>
      </c>
      <c r="V32" s="269">
        <v>17.228710381748794</v>
      </c>
      <c r="W32" s="269">
        <v>17.220028664169543</v>
      </c>
      <c r="X32" s="269">
        <v>17.240653196154813</v>
      </c>
      <c r="Y32" s="269">
        <v>17.232388684200718</v>
      </c>
      <c r="Z32" s="269">
        <v>17.228710381748794</v>
      </c>
      <c r="AA32" s="269">
        <v>17.220028664169543</v>
      </c>
      <c r="AB32" s="269">
        <v>17.240653196154813</v>
      </c>
      <c r="AC32" s="269">
        <v>17.232388684200718</v>
      </c>
      <c r="AD32" s="269">
        <v>17.228710381748794</v>
      </c>
      <c r="AE32" s="269">
        <v>17.220028664169543</v>
      </c>
      <c r="AF32" s="269">
        <v>17.240653196154813</v>
      </c>
      <c r="AG32" s="269">
        <v>17.232388684200718</v>
      </c>
      <c r="AH32" s="269">
        <v>17.228710381748794</v>
      </c>
      <c r="AI32" s="269">
        <v>17.220028664169543</v>
      </c>
      <c r="AJ32" s="269">
        <v>17.240653196154813</v>
      </c>
      <c r="AK32" s="269">
        <v>17.232388684200718</v>
      </c>
      <c r="AL32" s="269">
        <v>17.228710381748794</v>
      </c>
      <c r="AM32" s="269">
        <v>17.220028664169543</v>
      </c>
      <c r="AN32" s="269">
        <v>17.240653196154813</v>
      </c>
      <c r="AO32" s="269">
        <v>17.232388684200718</v>
      </c>
      <c r="AP32" s="269">
        <v>17.228710381748794</v>
      </c>
      <c r="AQ32" s="269">
        <v>17.220028664169543</v>
      </c>
      <c r="AR32" s="269">
        <v>17.240653196154813</v>
      </c>
      <c r="AS32" s="269">
        <v>17.232388684200718</v>
      </c>
      <c r="AT32" s="269">
        <v>17.228710381748794</v>
      </c>
      <c r="AU32" s="269">
        <v>17.220028664169543</v>
      </c>
      <c r="AV32" s="269">
        <v>17.240653196154813</v>
      </c>
      <c r="AW32" s="269">
        <v>17.232388684200718</v>
      </c>
      <c r="AX32" s="269">
        <v>17.228710381748794</v>
      </c>
      <c r="AY32" s="269">
        <v>17.220028664169543</v>
      </c>
      <c r="AZ32" s="269">
        <v>17.240653196154813</v>
      </c>
      <c r="BA32" s="269">
        <v>17.232388684200718</v>
      </c>
      <c r="BB32" s="269">
        <v>17.228710381748794</v>
      </c>
      <c r="BC32" s="269">
        <v>17.220028664169543</v>
      </c>
      <c r="BD32" s="269">
        <v>17.240653196154813</v>
      </c>
      <c r="BE32" s="269">
        <v>17.232388684200718</v>
      </c>
      <c r="BF32" s="269">
        <v>17.228710381748794</v>
      </c>
      <c r="BG32" s="269">
        <v>17.220028664169543</v>
      </c>
      <c r="BH32" s="269">
        <v>17.240653196154813</v>
      </c>
      <c r="BI32" s="269">
        <v>17.232388684200718</v>
      </c>
      <c r="BJ32" s="269">
        <v>17.228710381748794</v>
      </c>
      <c r="BK32" s="269">
        <v>17.220028664169543</v>
      </c>
      <c r="BL32" s="269">
        <v>17.240653196154813</v>
      </c>
      <c r="BM32" s="269">
        <v>17.232388684200718</v>
      </c>
      <c r="BN32" s="269">
        <v>17.228710381748794</v>
      </c>
      <c r="BO32" s="269">
        <v>17.220028664169543</v>
      </c>
      <c r="BP32" s="269">
        <v>17.240653196154813</v>
      </c>
      <c r="BQ32" s="269">
        <v>17.232388684200718</v>
      </c>
      <c r="BR32" s="269">
        <v>17.228710381748794</v>
      </c>
      <c r="BS32" s="269">
        <v>17.220028664169543</v>
      </c>
      <c r="BT32" s="269">
        <v>17.240653196154813</v>
      </c>
      <c r="BU32" s="269">
        <v>17.232388684200718</v>
      </c>
      <c r="BV32" s="269">
        <v>17.228710381748794</v>
      </c>
      <c r="BW32" s="194"/>
      <c r="EC32" s="12"/>
      <c r="ED32" s="12"/>
      <c r="EE32" s="12"/>
      <c r="EF32" s="12"/>
      <c r="EG32" s="12"/>
      <c r="EH32" s="12"/>
      <c r="EI32" s="12"/>
      <c r="EJ32" s="12"/>
      <c r="EK32" s="12"/>
      <c r="EL32" s="12"/>
      <c r="EM32" s="12"/>
      <c r="EN32" s="12"/>
      <c r="EO32" s="12"/>
      <c r="EP32" s="12"/>
      <c r="EQ32" s="12"/>
      <c r="ER32" s="12"/>
      <c r="ES32" s="12"/>
    </row>
    <row r="33" spans="1:149" x14ac:dyDescent="0.25">
      <c r="A33" s="319"/>
      <c r="B33" s="62">
        <f>IF($P$5="","",IF($P$5&gt;1,2,""))</f>
        <v>2</v>
      </c>
      <c r="C33" s="269">
        <v>17.212440902630906</v>
      </c>
      <c r="D33" s="269">
        <v>17.240864144833424</v>
      </c>
      <c r="E33" s="269">
        <v>17.218765890157293</v>
      </c>
      <c r="F33" s="269">
        <v>17.234833313543682</v>
      </c>
      <c r="G33" s="269">
        <v>17.212440902630906</v>
      </c>
      <c r="H33" s="269">
        <v>17.240864144833424</v>
      </c>
      <c r="I33" s="269">
        <v>17.218765890157293</v>
      </c>
      <c r="J33" s="269">
        <v>17.234833313543682</v>
      </c>
      <c r="K33" s="269">
        <v>17.212440902630906</v>
      </c>
      <c r="L33" s="269">
        <v>17.240864144833424</v>
      </c>
      <c r="M33" s="269">
        <v>17.218765890157293</v>
      </c>
      <c r="N33" s="269">
        <v>17.234833313543682</v>
      </c>
      <c r="O33" s="269">
        <v>17.212440902630906</v>
      </c>
      <c r="P33" s="269">
        <v>17.240864144833424</v>
      </c>
      <c r="Q33" s="269">
        <v>17.218765890157293</v>
      </c>
      <c r="R33" s="269">
        <v>17.234833313543682</v>
      </c>
      <c r="S33" s="269">
        <v>17.212440902630906</v>
      </c>
      <c r="T33" s="269">
        <v>17.240864144833424</v>
      </c>
      <c r="U33" s="269">
        <v>17.218765890157293</v>
      </c>
      <c r="V33" s="269">
        <v>17.234833313543682</v>
      </c>
      <c r="W33" s="269">
        <v>17.212440902630906</v>
      </c>
      <c r="X33" s="269">
        <v>17.240864144833424</v>
      </c>
      <c r="Y33" s="269">
        <v>17.218765890157293</v>
      </c>
      <c r="Z33" s="269">
        <v>17.234833313543682</v>
      </c>
      <c r="AA33" s="269">
        <v>17.212440902630906</v>
      </c>
      <c r="AB33" s="269">
        <v>17.240864144833424</v>
      </c>
      <c r="AC33" s="269">
        <v>17.218765890157293</v>
      </c>
      <c r="AD33" s="269">
        <v>17.234833313543682</v>
      </c>
      <c r="AE33" s="269">
        <v>17.212440902630906</v>
      </c>
      <c r="AF33" s="269">
        <v>17.240864144833424</v>
      </c>
      <c r="AG33" s="269">
        <v>17.218765890157293</v>
      </c>
      <c r="AH33" s="269">
        <v>17.234833313543682</v>
      </c>
      <c r="AI33" s="269">
        <v>17.212440902630906</v>
      </c>
      <c r="AJ33" s="269">
        <v>17.240864144833424</v>
      </c>
      <c r="AK33" s="269">
        <v>17.218765890157293</v>
      </c>
      <c r="AL33" s="269">
        <v>17.234833313543682</v>
      </c>
      <c r="AM33" s="269">
        <v>17.212440902630906</v>
      </c>
      <c r="AN33" s="269">
        <v>17.240864144833424</v>
      </c>
      <c r="AO33" s="269">
        <v>17.218765890157293</v>
      </c>
      <c r="AP33" s="269">
        <v>17.234833313543682</v>
      </c>
      <c r="AQ33" s="269">
        <v>17.212440902630906</v>
      </c>
      <c r="AR33" s="269">
        <v>17.240864144833424</v>
      </c>
      <c r="AS33" s="269">
        <v>17.218765890157293</v>
      </c>
      <c r="AT33" s="269">
        <v>17.234833313543682</v>
      </c>
      <c r="AU33" s="269">
        <v>17.212440902630906</v>
      </c>
      <c r="AV33" s="269">
        <v>17.240864144833424</v>
      </c>
      <c r="AW33" s="269">
        <v>17.218765890157293</v>
      </c>
      <c r="AX33" s="269">
        <v>17.234833313543682</v>
      </c>
      <c r="AY33" s="269">
        <v>17.212440902630906</v>
      </c>
      <c r="AZ33" s="269">
        <v>17.240864144833424</v>
      </c>
      <c r="BA33" s="269">
        <v>17.218765890157293</v>
      </c>
      <c r="BB33" s="269">
        <v>17.234833313543682</v>
      </c>
      <c r="BC33" s="269">
        <v>17.212440902630906</v>
      </c>
      <c r="BD33" s="269">
        <v>17.240864144833424</v>
      </c>
      <c r="BE33" s="269">
        <v>17.218765890157293</v>
      </c>
      <c r="BF33" s="269">
        <v>17.234833313543682</v>
      </c>
      <c r="BG33" s="269">
        <v>17.212440902630906</v>
      </c>
      <c r="BH33" s="269">
        <v>17.240864144833424</v>
      </c>
      <c r="BI33" s="269">
        <v>17.218765890157293</v>
      </c>
      <c r="BJ33" s="269">
        <v>17.234833313543682</v>
      </c>
      <c r="BK33" s="269">
        <v>17.212440902630906</v>
      </c>
      <c r="BL33" s="269">
        <v>17.240864144833424</v>
      </c>
      <c r="BM33" s="269">
        <v>17.218765890157293</v>
      </c>
      <c r="BN33" s="269">
        <v>17.234833313543682</v>
      </c>
      <c r="BO33" s="269">
        <v>17.212440902630906</v>
      </c>
      <c r="BP33" s="269">
        <v>17.240864144833424</v>
      </c>
      <c r="BQ33" s="269">
        <v>17.218765890157293</v>
      </c>
      <c r="BR33" s="269">
        <v>17.234833313543682</v>
      </c>
      <c r="BS33" s="269">
        <v>17.212440902630906</v>
      </c>
      <c r="BT33" s="269">
        <v>17.240864144833424</v>
      </c>
      <c r="BU33" s="269">
        <v>17.218765890157293</v>
      </c>
      <c r="BV33" s="269">
        <v>17.234833313543682</v>
      </c>
      <c r="BW33" s="194"/>
      <c r="EC33" s="12"/>
      <c r="ED33" s="12"/>
      <c r="EE33" s="12"/>
      <c r="EF33" s="12"/>
      <c r="EG33" s="12"/>
      <c r="EH33" s="12"/>
      <c r="EI33" s="12"/>
      <c r="EJ33" s="12"/>
      <c r="EK33" s="12"/>
      <c r="EL33" s="12"/>
      <c r="EM33" s="12"/>
      <c r="EN33" s="12"/>
      <c r="EO33" s="12"/>
      <c r="EP33" s="12"/>
      <c r="EQ33" s="12"/>
      <c r="ER33" s="12"/>
      <c r="ES33" s="12"/>
    </row>
    <row r="34" spans="1:149" x14ac:dyDescent="0.25">
      <c r="A34" s="319"/>
      <c r="B34" s="62">
        <f>IF($P$5="","",IF($P$5&gt;2,3,""))</f>
        <v>3</v>
      </c>
      <c r="C34" s="269">
        <v>17.245717338860544</v>
      </c>
      <c r="D34" s="269">
        <v>17.23260809682381</v>
      </c>
      <c r="E34" s="269">
        <v>17.23643501210589</v>
      </c>
      <c r="F34" s="269">
        <v>17.218130624017313</v>
      </c>
      <c r="G34" s="269">
        <v>17.245717338860544</v>
      </c>
      <c r="H34" s="269">
        <v>17.23260809682381</v>
      </c>
      <c r="I34" s="269">
        <v>17.23643501210589</v>
      </c>
      <c r="J34" s="269">
        <v>17.218130624017313</v>
      </c>
      <c r="K34" s="269">
        <v>17.245717338860544</v>
      </c>
      <c r="L34" s="269">
        <v>17.23260809682381</v>
      </c>
      <c r="M34" s="269">
        <v>17.23643501210589</v>
      </c>
      <c r="N34" s="269">
        <v>17.218130624017313</v>
      </c>
      <c r="O34" s="269">
        <v>17.245717338860544</v>
      </c>
      <c r="P34" s="269">
        <v>17.23260809682381</v>
      </c>
      <c r="Q34" s="269">
        <v>17.23643501210589</v>
      </c>
      <c r="R34" s="269">
        <v>17.218130624017313</v>
      </c>
      <c r="S34" s="269">
        <v>17.245717338860544</v>
      </c>
      <c r="T34" s="269">
        <v>17.23260809682381</v>
      </c>
      <c r="U34" s="269">
        <v>17.23643501210589</v>
      </c>
      <c r="V34" s="269">
        <v>17.218130624017313</v>
      </c>
      <c r="W34" s="269">
        <v>17.245717338860544</v>
      </c>
      <c r="X34" s="269">
        <v>17.23260809682381</v>
      </c>
      <c r="Y34" s="269">
        <v>17.23643501210589</v>
      </c>
      <c r="Z34" s="269">
        <v>17.218130624017313</v>
      </c>
      <c r="AA34" s="269">
        <v>17.245717338860544</v>
      </c>
      <c r="AB34" s="269">
        <v>17.23260809682381</v>
      </c>
      <c r="AC34" s="269">
        <v>17.23643501210589</v>
      </c>
      <c r="AD34" s="269">
        <v>17.218130624017313</v>
      </c>
      <c r="AE34" s="269">
        <v>17.245717338860544</v>
      </c>
      <c r="AF34" s="269">
        <v>17.23260809682381</v>
      </c>
      <c r="AG34" s="269">
        <v>17.23643501210589</v>
      </c>
      <c r="AH34" s="269">
        <v>17.218130624017313</v>
      </c>
      <c r="AI34" s="269">
        <v>17.245717338860544</v>
      </c>
      <c r="AJ34" s="269">
        <v>17.23260809682381</v>
      </c>
      <c r="AK34" s="269">
        <v>17.23643501210589</v>
      </c>
      <c r="AL34" s="269">
        <v>17.218130624017313</v>
      </c>
      <c r="AM34" s="269">
        <v>17.245717338860544</v>
      </c>
      <c r="AN34" s="269">
        <v>17.23260809682381</v>
      </c>
      <c r="AO34" s="269">
        <v>17.23643501210589</v>
      </c>
      <c r="AP34" s="269">
        <v>17.218130624017313</v>
      </c>
      <c r="AQ34" s="269">
        <v>17.245717338860544</v>
      </c>
      <c r="AR34" s="269">
        <v>17.23260809682381</v>
      </c>
      <c r="AS34" s="269">
        <v>17.23643501210589</v>
      </c>
      <c r="AT34" s="269">
        <v>17.218130624017313</v>
      </c>
      <c r="AU34" s="269">
        <v>17.245717338860544</v>
      </c>
      <c r="AV34" s="269">
        <v>17.23260809682381</v>
      </c>
      <c r="AW34" s="269">
        <v>17.23643501210589</v>
      </c>
      <c r="AX34" s="269">
        <v>17.218130624017313</v>
      </c>
      <c r="AY34" s="269">
        <v>17.245717338860544</v>
      </c>
      <c r="AZ34" s="269">
        <v>17.23260809682381</v>
      </c>
      <c r="BA34" s="269">
        <v>17.23643501210589</v>
      </c>
      <c r="BB34" s="269">
        <v>17.218130624017313</v>
      </c>
      <c r="BC34" s="269">
        <v>17.245717338860544</v>
      </c>
      <c r="BD34" s="269">
        <v>17.23260809682381</v>
      </c>
      <c r="BE34" s="269">
        <v>17.23643501210589</v>
      </c>
      <c r="BF34" s="269">
        <v>17.218130624017313</v>
      </c>
      <c r="BG34" s="269">
        <v>17.245717338860544</v>
      </c>
      <c r="BH34" s="269">
        <v>17.23260809682381</v>
      </c>
      <c r="BI34" s="269">
        <v>17.23643501210589</v>
      </c>
      <c r="BJ34" s="269">
        <v>17.218130624017313</v>
      </c>
      <c r="BK34" s="269">
        <v>17.245717338860544</v>
      </c>
      <c r="BL34" s="269">
        <v>17.23260809682381</v>
      </c>
      <c r="BM34" s="269">
        <v>17.23643501210589</v>
      </c>
      <c r="BN34" s="269">
        <v>17.218130624017313</v>
      </c>
      <c r="BO34" s="269">
        <v>17.245717338860544</v>
      </c>
      <c r="BP34" s="269">
        <v>17.23260809682381</v>
      </c>
      <c r="BQ34" s="269">
        <v>17.23643501210589</v>
      </c>
      <c r="BR34" s="269">
        <v>17.218130624017313</v>
      </c>
      <c r="BS34" s="269">
        <v>17.245717338860544</v>
      </c>
      <c r="BT34" s="269">
        <v>17.23260809682381</v>
      </c>
      <c r="BU34" s="269">
        <v>17.23643501210589</v>
      </c>
      <c r="BV34" s="269">
        <v>17.218130624017313</v>
      </c>
      <c r="BW34" s="194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</row>
    <row r="35" spans="1:149" x14ac:dyDescent="0.25">
      <c r="A35" s="319"/>
      <c r="B35" s="62">
        <f>IF($P$5="","",IF($P$5&gt;3,4,""))</f>
        <v>4</v>
      </c>
      <c r="C35" s="269">
        <v>17.232651804741487</v>
      </c>
      <c r="D35" s="269">
        <v>17.211247165562256</v>
      </c>
      <c r="E35" s="269">
        <v>17.218005091716119</v>
      </c>
      <c r="F35" s="269">
        <v>17.250646766482777</v>
      </c>
      <c r="G35" s="269">
        <v>17.232651804741487</v>
      </c>
      <c r="H35" s="269">
        <v>17.211247165562256</v>
      </c>
      <c r="I35" s="269">
        <v>17.218005091716119</v>
      </c>
      <c r="J35" s="269">
        <v>17.250646766482777</v>
      </c>
      <c r="K35" s="269">
        <v>17.232651804741487</v>
      </c>
      <c r="L35" s="269">
        <v>17.211247165562256</v>
      </c>
      <c r="M35" s="269">
        <v>17.218005091716119</v>
      </c>
      <c r="N35" s="269">
        <v>17.250646766482777</v>
      </c>
      <c r="O35" s="269">
        <v>17.232651804741487</v>
      </c>
      <c r="P35" s="269">
        <v>17.211247165562256</v>
      </c>
      <c r="Q35" s="269">
        <v>17.218005091716119</v>
      </c>
      <c r="R35" s="269">
        <v>17.250646766482777</v>
      </c>
      <c r="S35" s="269">
        <v>17.232651804741487</v>
      </c>
      <c r="T35" s="269">
        <v>17.211247165562256</v>
      </c>
      <c r="U35" s="269">
        <v>17.218005091716119</v>
      </c>
      <c r="V35" s="269">
        <v>17.250646766482777</v>
      </c>
      <c r="W35" s="269">
        <v>17.232651804741487</v>
      </c>
      <c r="X35" s="269">
        <v>17.211247165562256</v>
      </c>
      <c r="Y35" s="269">
        <v>17.218005091716119</v>
      </c>
      <c r="Z35" s="269">
        <v>17.250646766482777</v>
      </c>
      <c r="AA35" s="269">
        <v>17.232651804741487</v>
      </c>
      <c r="AB35" s="269">
        <v>17.211247165562256</v>
      </c>
      <c r="AC35" s="269">
        <v>17.218005091716119</v>
      </c>
      <c r="AD35" s="269">
        <v>17.250646766482777</v>
      </c>
      <c r="AE35" s="269">
        <v>17.232651804741487</v>
      </c>
      <c r="AF35" s="269">
        <v>17.211247165562256</v>
      </c>
      <c r="AG35" s="269">
        <v>17.218005091716119</v>
      </c>
      <c r="AH35" s="269">
        <v>17.250646766482777</v>
      </c>
      <c r="AI35" s="269">
        <v>17.232651804741487</v>
      </c>
      <c r="AJ35" s="269">
        <v>17.211247165562256</v>
      </c>
      <c r="AK35" s="269">
        <v>17.218005091716119</v>
      </c>
      <c r="AL35" s="269">
        <v>17.250646766482777</v>
      </c>
      <c r="AM35" s="269">
        <v>17.232651804741487</v>
      </c>
      <c r="AN35" s="269">
        <v>17.211247165562256</v>
      </c>
      <c r="AO35" s="269">
        <v>17.218005091716119</v>
      </c>
      <c r="AP35" s="269">
        <v>17.250646766482777</v>
      </c>
      <c r="AQ35" s="269">
        <v>17.232651804741487</v>
      </c>
      <c r="AR35" s="269">
        <v>17.211247165562256</v>
      </c>
      <c r="AS35" s="269">
        <v>17.218005091716119</v>
      </c>
      <c r="AT35" s="269">
        <v>17.250646766482777</v>
      </c>
      <c r="AU35" s="269">
        <v>17.232651804741487</v>
      </c>
      <c r="AV35" s="269">
        <v>17.211247165562256</v>
      </c>
      <c r="AW35" s="269">
        <v>17.218005091716119</v>
      </c>
      <c r="AX35" s="269">
        <v>17.250646766482777</v>
      </c>
      <c r="AY35" s="269">
        <v>17.232651804741487</v>
      </c>
      <c r="AZ35" s="269">
        <v>17.211247165562256</v>
      </c>
      <c r="BA35" s="269">
        <v>17.218005091716119</v>
      </c>
      <c r="BB35" s="269">
        <v>17.250646766482777</v>
      </c>
      <c r="BC35" s="269">
        <v>17.232651804741487</v>
      </c>
      <c r="BD35" s="269">
        <v>17.211247165562256</v>
      </c>
      <c r="BE35" s="269">
        <v>17.218005091716119</v>
      </c>
      <c r="BF35" s="269">
        <v>17.250646766482777</v>
      </c>
      <c r="BG35" s="269">
        <v>17.232651804741487</v>
      </c>
      <c r="BH35" s="269">
        <v>17.211247165562256</v>
      </c>
      <c r="BI35" s="269">
        <v>17.218005091716119</v>
      </c>
      <c r="BJ35" s="269">
        <v>17.250646766482777</v>
      </c>
      <c r="BK35" s="269">
        <v>17.232651804741487</v>
      </c>
      <c r="BL35" s="269">
        <v>17.211247165562256</v>
      </c>
      <c r="BM35" s="269">
        <v>17.218005091716119</v>
      </c>
      <c r="BN35" s="269">
        <v>17.250646766482777</v>
      </c>
      <c r="BO35" s="269">
        <v>17.232651804741487</v>
      </c>
      <c r="BP35" s="269">
        <v>17.211247165562256</v>
      </c>
      <c r="BQ35" s="269">
        <v>17.218005091716119</v>
      </c>
      <c r="BR35" s="269">
        <v>17.250646766482777</v>
      </c>
      <c r="BS35" s="269">
        <v>17.232651804741487</v>
      </c>
      <c r="BT35" s="269">
        <v>17.211247165562256</v>
      </c>
      <c r="BU35" s="269">
        <v>17.218005091716119</v>
      </c>
      <c r="BV35" s="269">
        <v>17.250646766482777</v>
      </c>
      <c r="BW35" s="194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</row>
    <row r="36" spans="1:149" ht="13.8" thickBot="1" x14ac:dyDescent="0.3">
      <c r="A36" s="320"/>
      <c r="B36" s="63">
        <f>IF($P$5="","",IF($P$5&gt;4,5,""))</f>
        <v>5</v>
      </c>
      <c r="C36" s="269">
        <v>17.208022786682669</v>
      </c>
      <c r="D36" s="269">
        <v>17.236854801003769</v>
      </c>
      <c r="E36" s="269">
        <v>17.207724875927173</v>
      </c>
      <c r="F36" s="269">
        <v>17.24947649083342</v>
      </c>
      <c r="G36" s="269">
        <v>17.208022786682669</v>
      </c>
      <c r="H36" s="269">
        <v>17.236854801003769</v>
      </c>
      <c r="I36" s="269">
        <v>17.207724875927173</v>
      </c>
      <c r="J36" s="269">
        <v>17.24947649083342</v>
      </c>
      <c r="K36" s="269">
        <v>17.208022786682669</v>
      </c>
      <c r="L36" s="269">
        <v>17.236854801003769</v>
      </c>
      <c r="M36" s="269">
        <v>17.207724875927173</v>
      </c>
      <c r="N36" s="269">
        <v>17.24947649083342</v>
      </c>
      <c r="O36" s="269">
        <v>17.208022786682669</v>
      </c>
      <c r="P36" s="269">
        <v>17.236854801003769</v>
      </c>
      <c r="Q36" s="269">
        <v>17.207724875927173</v>
      </c>
      <c r="R36" s="269">
        <v>17.24947649083342</v>
      </c>
      <c r="S36" s="269">
        <v>17.208022786682669</v>
      </c>
      <c r="T36" s="269">
        <v>17.236854801003769</v>
      </c>
      <c r="U36" s="269">
        <v>17.207724875927173</v>
      </c>
      <c r="V36" s="269">
        <v>17.24947649083342</v>
      </c>
      <c r="W36" s="269">
        <v>17.208022786682669</v>
      </c>
      <c r="X36" s="269">
        <v>17.236854801003769</v>
      </c>
      <c r="Y36" s="269">
        <v>17.207724875927173</v>
      </c>
      <c r="Z36" s="269">
        <v>17.24947649083342</v>
      </c>
      <c r="AA36" s="269">
        <v>17.208022786682669</v>
      </c>
      <c r="AB36" s="269">
        <v>17.236854801003769</v>
      </c>
      <c r="AC36" s="269">
        <v>17.207724875927173</v>
      </c>
      <c r="AD36" s="269">
        <v>17.24947649083342</v>
      </c>
      <c r="AE36" s="269">
        <v>17.208022786682669</v>
      </c>
      <c r="AF36" s="269">
        <v>17.236854801003769</v>
      </c>
      <c r="AG36" s="269">
        <v>17.207724875927173</v>
      </c>
      <c r="AH36" s="269">
        <v>17.24947649083342</v>
      </c>
      <c r="AI36" s="269">
        <v>17.208022786682669</v>
      </c>
      <c r="AJ36" s="269">
        <v>17.236854801003769</v>
      </c>
      <c r="AK36" s="269">
        <v>17.207724875927173</v>
      </c>
      <c r="AL36" s="269">
        <v>17.24947649083342</v>
      </c>
      <c r="AM36" s="269">
        <v>17.208022786682669</v>
      </c>
      <c r="AN36" s="269">
        <v>17.236854801003769</v>
      </c>
      <c r="AO36" s="269">
        <v>17.207724875927173</v>
      </c>
      <c r="AP36" s="269">
        <v>17.24947649083342</v>
      </c>
      <c r="AQ36" s="269">
        <v>17.208022786682669</v>
      </c>
      <c r="AR36" s="269">
        <v>17.236854801003769</v>
      </c>
      <c r="AS36" s="269">
        <v>17.207724875927173</v>
      </c>
      <c r="AT36" s="269">
        <v>17.24947649083342</v>
      </c>
      <c r="AU36" s="269">
        <v>17.208022786682669</v>
      </c>
      <c r="AV36" s="269">
        <v>17.236854801003769</v>
      </c>
      <c r="AW36" s="269">
        <v>17.207724875927173</v>
      </c>
      <c r="AX36" s="269">
        <v>17.24947649083342</v>
      </c>
      <c r="AY36" s="269">
        <v>17.208022786682669</v>
      </c>
      <c r="AZ36" s="269">
        <v>17.236854801003769</v>
      </c>
      <c r="BA36" s="269">
        <v>17.207724875927173</v>
      </c>
      <c r="BB36" s="269">
        <v>17.24947649083342</v>
      </c>
      <c r="BC36" s="269">
        <v>17.208022786682669</v>
      </c>
      <c r="BD36" s="269">
        <v>17.236854801003769</v>
      </c>
      <c r="BE36" s="269">
        <v>17.207724875927173</v>
      </c>
      <c r="BF36" s="269">
        <v>17.24947649083342</v>
      </c>
      <c r="BG36" s="269">
        <v>17.208022786682669</v>
      </c>
      <c r="BH36" s="269">
        <v>17.236854801003769</v>
      </c>
      <c r="BI36" s="269">
        <v>17.207724875927173</v>
      </c>
      <c r="BJ36" s="269">
        <v>17.24947649083342</v>
      </c>
      <c r="BK36" s="269">
        <v>17.208022786682669</v>
      </c>
      <c r="BL36" s="269">
        <v>17.236854801003769</v>
      </c>
      <c r="BM36" s="269">
        <v>17.207724875927173</v>
      </c>
      <c r="BN36" s="269">
        <v>17.24947649083342</v>
      </c>
      <c r="BO36" s="269">
        <v>17.208022786682669</v>
      </c>
      <c r="BP36" s="269">
        <v>17.236854801003769</v>
      </c>
      <c r="BQ36" s="269">
        <v>17.207724875927173</v>
      </c>
      <c r="BR36" s="269">
        <v>17.24947649083342</v>
      </c>
      <c r="BS36" s="269">
        <v>17.208022786682669</v>
      </c>
      <c r="BT36" s="269">
        <v>17.236854801003769</v>
      </c>
      <c r="BU36" s="269">
        <v>17.207724875927173</v>
      </c>
      <c r="BV36" s="269">
        <v>17.24947649083342</v>
      </c>
      <c r="BW36" s="194"/>
      <c r="EC36" s="12"/>
      <c r="ED36" s="12"/>
      <c r="EE36" s="12"/>
      <c r="EF36" s="12"/>
      <c r="EG36" s="12"/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</row>
    <row r="37" spans="1:149" x14ac:dyDescent="0.25">
      <c r="A37" s="316" t="str">
        <f>IF(Formule!$K$1=1,"AVE .X =",IF(Formule!$K$1=2,"DATA",IF(Formule!$K$1=3,"MEDIAN =","")))</f>
        <v>AVE .X =</v>
      </c>
      <c r="B37" s="317"/>
      <c r="C37" s="64">
        <f>IF(C30="","N/A",IF(Formule!$K$1=2,C32,IF(Formule!$K$1=3,MEDIAN(C32:C36),AVERAGE(C32:C36))))</f>
        <v>17.223772299417032</v>
      </c>
      <c r="D37" s="64">
        <f>IF(D30="","N/A",IF(Formule!$K$1=2,D32,IF(Formule!$K$1=3,MEDIAN(D32:D36),AVERAGE(D32:D36))))</f>
        <v>17.232445480875615</v>
      </c>
      <c r="E37" s="64">
        <f>IF(E30="","N/A",IF(Formule!$K$1=2,E32,IF(Formule!$K$1=3,MEDIAN(E32:E36),AVERAGE(E32:E36))))</f>
        <v>17.222663910821439</v>
      </c>
      <c r="F37" s="64">
        <f>IF(F30="","N/A",IF(Formule!$K$1=2,F32,IF(Formule!$K$1=3,MEDIAN(F32:F36),AVERAGE(F32:F36))))</f>
        <v>17.236359515325198</v>
      </c>
      <c r="G37" s="199">
        <f>IF(G30="","N/A",IF(Formule!$K$1=2,G32,IF(Formule!$K$1=3,MEDIAN(G32:G36),AVERAGE(G32:G36))))</f>
        <v>17.223772299417032</v>
      </c>
      <c r="H37" s="199">
        <f>IF(H30="","N/A",IF(Formule!$K$1=2,H32,IF(Formule!$K$1=3,MEDIAN(H32:H36),AVERAGE(H32:H36))))</f>
        <v>17.232445480875615</v>
      </c>
      <c r="I37" s="199">
        <f>IF(I30="","N/A",IF(Formule!$K$1=2,I32,IF(Formule!$K$1=3,MEDIAN(I32:I36),AVERAGE(I32:I36))))</f>
        <v>17.222663910821439</v>
      </c>
      <c r="J37" s="199">
        <f>IF(J30="","N/A",IF(Formule!$K$1=2,J32,IF(Formule!$K$1=3,MEDIAN(J32:J36),AVERAGE(J32:J36))))</f>
        <v>17.236359515325198</v>
      </c>
      <c r="K37" s="199">
        <f>IF(K30="","N/A",IF(Formule!$K$1=2,K32,IF(Formule!$K$1=3,MEDIAN(K32:K36),AVERAGE(K32:K36))))</f>
        <v>17.223772299417032</v>
      </c>
      <c r="L37" s="199">
        <f>IF(L30="","N/A",IF(Formule!$K$1=2,L32,IF(Formule!$K$1=3,MEDIAN(L32:L36),AVERAGE(L32:L36))))</f>
        <v>17.232445480875615</v>
      </c>
      <c r="M37" s="199">
        <f>IF(M30="","N/A",IF(Formule!$K$1=2,M32,IF(Formule!$K$1=3,MEDIAN(M32:M36),AVERAGE(M32:M36))))</f>
        <v>17.222663910821439</v>
      </c>
      <c r="N37" s="199">
        <f>IF(N30="","N/A",IF(Formule!$K$1=2,N32,IF(Formule!$K$1=3,MEDIAN(N32:N36),AVERAGE(N32:N36))))</f>
        <v>17.236359515325198</v>
      </c>
      <c r="O37" s="199">
        <f>IF(O30="","N/A",IF(Formule!$K$1=2,O32,IF(Formule!$K$1=3,MEDIAN(O32:O36),AVERAGE(O32:O36))))</f>
        <v>17.223772299417032</v>
      </c>
      <c r="P37" s="199">
        <f>IF(P30="","N/A",IF(Formule!$K$1=2,P32,IF(Formule!$K$1=3,MEDIAN(P32:P36),AVERAGE(P32:P36))))</f>
        <v>17.232445480875615</v>
      </c>
      <c r="Q37" s="199">
        <f>IF(Q30="","N/A",IF(Formule!$K$1=2,Q32,IF(Formule!$K$1=3,MEDIAN(Q32:Q36),AVERAGE(Q32:Q36))))</f>
        <v>17.222663910821439</v>
      </c>
      <c r="R37" s="199">
        <f>IF(R30="","N/A",IF(Formule!$K$1=2,R32,IF(Formule!$K$1=3,MEDIAN(R32:R36),AVERAGE(R32:R36))))</f>
        <v>17.236359515325198</v>
      </c>
      <c r="S37" s="199">
        <f>IF(S30="","N/A",IF(Formule!$K$1=2,S32,IF(Formule!$K$1=3,MEDIAN(S32:S36),AVERAGE(S32:S36))))</f>
        <v>17.223772299417032</v>
      </c>
      <c r="T37" s="199">
        <f>IF(T30="","N/A",IF(Formule!$K$1=2,T32,IF(Formule!$K$1=3,MEDIAN(T32:T36),AVERAGE(T32:T36))))</f>
        <v>17.232445480875615</v>
      </c>
      <c r="U37" s="199">
        <f>IF(U30="","N/A",IF(Formule!$K$1=2,U32,IF(Formule!$K$1=3,MEDIAN(U32:U36),AVERAGE(U32:U36))))</f>
        <v>17.222663910821439</v>
      </c>
      <c r="V37" s="199">
        <f>IF(V30="","N/A",IF(Formule!$K$1=2,V32,IF(Formule!$K$1=3,MEDIAN(V32:V36),AVERAGE(V32:V36))))</f>
        <v>17.236359515325198</v>
      </c>
      <c r="W37" s="199">
        <f>IF(W30="","N/A",IF(Formule!$K$1=2,W32,IF(Formule!$K$1=3,MEDIAN(W32:W36),AVERAGE(W32:W36))))</f>
        <v>17.223772299417032</v>
      </c>
      <c r="X37" s="199">
        <f>IF(X30="","N/A",IF(Formule!$K$1=2,X32,IF(Formule!$K$1=3,MEDIAN(X32:X36),AVERAGE(X32:X36))))</f>
        <v>17.232445480875615</v>
      </c>
      <c r="Y37" s="199">
        <f>IF(Y30="","N/A",IF(Formule!$K$1=2,Y32,IF(Formule!$K$1=3,MEDIAN(Y32:Y36),AVERAGE(Y32:Y36))))</f>
        <v>17.222663910821439</v>
      </c>
      <c r="Z37" s="199">
        <f>IF(Z30="","N/A",IF(Formule!$K$1=2,Z32,IF(Formule!$K$1=3,MEDIAN(Z32:Z36),AVERAGE(Z32:Z36))))</f>
        <v>17.236359515325198</v>
      </c>
      <c r="AA37" s="200">
        <f>IF(AA30="","N/A",IF(Formule!$K$1=2,AA32,IF(Formule!$K$1=3,MEDIAN(AA32:AA36),AVERAGE(AA32:AA36))))</f>
        <v>17.223772299417032</v>
      </c>
      <c r="AB37" s="200">
        <f>IF(AB30="","N/A",IF(Formule!$K$1=2,AB32,IF(Formule!$K$1=3,MEDIAN(AB32:AB36),AVERAGE(AB32:AB36))))</f>
        <v>17.232445480875615</v>
      </c>
      <c r="AC37" s="200">
        <f>IF(AC30="","N/A",IF(Formule!$K$1=2,AC32,IF(Formule!$K$1=3,MEDIAN(AC32:AC36),AVERAGE(AC32:AC36))))</f>
        <v>17.222663910821439</v>
      </c>
      <c r="AD37" s="200">
        <f>IF(AD30="","N/A",IF(Formule!$K$1=2,AD32,IF(Formule!$K$1=3,MEDIAN(AD32:AD36),AVERAGE(AD32:AD36))))</f>
        <v>17.236359515325198</v>
      </c>
      <c r="AE37" s="200">
        <f>IF(AE30="","N/A",IF(Formule!$K$1=2,AE32,IF(Formule!$K$1=3,MEDIAN(AE32:AE36),AVERAGE(AE32:AE36))))</f>
        <v>17.223772299417032</v>
      </c>
      <c r="AF37" s="200">
        <f>IF(AF30="","N/A",IF(Formule!$K$1=2,AF32,IF(Formule!$K$1=3,MEDIAN(AF32:AF36),AVERAGE(AF32:AF36))))</f>
        <v>17.232445480875615</v>
      </c>
      <c r="AG37" s="200">
        <f>IF(AG30="","N/A",IF(Formule!$K$1=2,AG32,IF(Formule!$K$1=3,MEDIAN(AG32:AG36),AVERAGE(AG32:AG36))))</f>
        <v>17.222663910821439</v>
      </c>
      <c r="AH37" s="200">
        <f>IF(AH30="","N/A",IF(Formule!$K$1=2,AH32,IF(Formule!$K$1=3,MEDIAN(AH32:AH36),AVERAGE(AH32:AH36))))</f>
        <v>17.236359515325198</v>
      </c>
      <c r="AI37" s="200">
        <f>IF(AI30="","N/A",IF(Formule!$K$1=2,AI32,IF(Formule!$K$1=3,MEDIAN(AI32:AI36),AVERAGE(AI32:AI36))))</f>
        <v>17.223772299417032</v>
      </c>
      <c r="AJ37" s="200">
        <f>IF(AJ30="","N/A",IF(Formule!$K$1=2,AJ32,IF(Formule!$K$1=3,MEDIAN(AJ32:AJ36),AVERAGE(AJ32:AJ36))))</f>
        <v>17.232445480875615</v>
      </c>
      <c r="AK37" s="200">
        <f>IF(AK30="","N/A",IF(Formule!$K$1=2,AK32,IF(Formule!$K$1=3,MEDIAN(AK32:AK36),AVERAGE(AK32:AK36))))</f>
        <v>17.222663910821439</v>
      </c>
      <c r="AL37" s="200">
        <f>IF(AL30="","N/A",IF(Formule!$K$1=2,AL32,IF(Formule!$K$1=3,MEDIAN(AL32:AL36),AVERAGE(AL32:AL36))))</f>
        <v>17.236359515325198</v>
      </c>
      <c r="AM37" s="200">
        <f>IF(AM30="","N/A",IF(Formule!$K$1=2,AM32,IF(Formule!$K$1=3,MEDIAN(AM32:AM36),AVERAGE(AM32:AM36))))</f>
        <v>17.223772299417032</v>
      </c>
      <c r="AN37" s="200">
        <f>IF(AN30="","N/A",IF(Formule!$K$1=2,AN32,IF(Formule!$K$1=3,MEDIAN(AN32:AN36),AVERAGE(AN32:AN36))))</f>
        <v>17.232445480875615</v>
      </c>
      <c r="AO37" s="200">
        <f>IF(AO30="","N/A",IF(Formule!$K$1=2,AO32,IF(Formule!$K$1=3,MEDIAN(AO32:AO36),AVERAGE(AO32:AO36))))</f>
        <v>17.222663910821439</v>
      </c>
      <c r="AP37" s="200">
        <f>IF(AP30="","N/A",IF(Formule!$K$1=2,AP32,IF(Formule!$K$1=3,MEDIAN(AP32:AP36),AVERAGE(AP32:AP36))))</f>
        <v>17.236359515325198</v>
      </c>
      <c r="AQ37" s="200">
        <f>IF(AQ30="","N/A",IF(Formule!$K$1=2,AQ32,IF(Formule!$K$1=3,MEDIAN(AQ32:AQ36),AVERAGE(AQ32:AQ36))))</f>
        <v>17.223772299417032</v>
      </c>
      <c r="AR37" s="200">
        <f>IF(AR30="","N/A",IF(Formule!$K$1=2,AR32,IF(Formule!$K$1=3,MEDIAN(AR32:AR36),AVERAGE(AR32:AR36))))</f>
        <v>17.232445480875615</v>
      </c>
      <c r="AS37" s="200">
        <f>IF(AS30="","N/A",IF(Formule!$K$1=2,AS32,IF(Formule!$K$1=3,MEDIAN(AS32:AS36),AVERAGE(AS32:AS36))))</f>
        <v>17.222663910821439</v>
      </c>
      <c r="AT37" s="200">
        <f>IF(AT30="","N/A",IF(Formule!$K$1=2,AT32,IF(Formule!$K$1=3,MEDIAN(AT32:AT36),AVERAGE(AT32:AT36))))</f>
        <v>17.236359515325198</v>
      </c>
      <c r="AU37" s="200">
        <f>IF(AU30="","N/A",IF(Formule!$K$1=2,AU32,IF(Formule!$K$1=3,MEDIAN(AU32:AU36),AVERAGE(AU32:AU36))))</f>
        <v>17.223772299417032</v>
      </c>
      <c r="AV37" s="200">
        <f>IF(AV30="","N/A",IF(Formule!$K$1=2,AV32,IF(Formule!$K$1=3,MEDIAN(AV32:AV36),AVERAGE(AV32:AV36))))</f>
        <v>17.232445480875615</v>
      </c>
      <c r="AW37" s="200">
        <f>IF(AW30="","N/A",IF(Formule!$K$1=2,AW32,IF(Formule!$K$1=3,MEDIAN(AW32:AW36),AVERAGE(AW32:AW36))))</f>
        <v>17.222663910821439</v>
      </c>
      <c r="AX37" s="200">
        <f>IF(AX30="","N/A",IF(Formule!$K$1=2,AX32,IF(Formule!$K$1=3,MEDIAN(AX32:AX36),AVERAGE(AX32:AX36))))</f>
        <v>17.236359515325198</v>
      </c>
      <c r="AY37" s="200">
        <f>IF(AY30="","N/A",IF(Formule!$K$1=2,AY32,IF(Formule!$K$1=3,MEDIAN(AY32:AY36),AVERAGE(AY32:AY36))))</f>
        <v>17.223772299417032</v>
      </c>
      <c r="AZ37" s="200">
        <f>IF(AZ30="","N/A",IF(Formule!$K$1=2,AZ32,IF(Formule!$K$1=3,MEDIAN(AZ32:AZ36),AVERAGE(AZ32:AZ36))))</f>
        <v>17.232445480875615</v>
      </c>
      <c r="BA37" s="200">
        <f>IF(BA30="","N/A",IF(Formule!$K$1=2,BA32,IF(Formule!$K$1=3,MEDIAN(BA32:BA36),AVERAGE(BA32:BA36))))</f>
        <v>17.222663910821439</v>
      </c>
      <c r="BB37" s="200">
        <f>IF(BB30="","N/A",IF(Formule!$K$1=2,BB32,IF(Formule!$K$1=3,MEDIAN(BB32:BB36),AVERAGE(BB32:BB36))))</f>
        <v>17.236359515325198</v>
      </c>
      <c r="BC37" s="200">
        <f>IF(BC30="","N/A",IF(Formule!$K$1=2,BC32,IF(Formule!$K$1=3,MEDIAN(BC32:BC36),AVERAGE(BC32:BC36))))</f>
        <v>17.223772299417032</v>
      </c>
      <c r="BD37" s="200">
        <f>IF(BD30="","N/A",IF(Formule!$K$1=2,BD32,IF(Formule!$K$1=3,MEDIAN(BD32:BD36),AVERAGE(BD32:BD36))))</f>
        <v>17.232445480875615</v>
      </c>
      <c r="BE37" s="200">
        <f>IF(BE30="","N/A",IF(Formule!$K$1=2,BE32,IF(Formule!$K$1=3,MEDIAN(BE32:BE36),AVERAGE(BE32:BE36))))</f>
        <v>17.222663910821439</v>
      </c>
      <c r="BF37" s="200">
        <f>IF(BF30="","N/A",IF(Formule!$K$1=2,BF32,IF(Formule!$K$1=3,MEDIAN(BF32:BF36),AVERAGE(BF32:BF36))))</f>
        <v>17.236359515325198</v>
      </c>
      <c r="BG37" s="200">
        <f>IF(BG30="","N/A",IF(Formule!$K$1=2,BG32,IF(Formule!$K$1=3,MEDIAN(BG32:BG36),AVERAGE(BG32:BG36))))</f>
        <v>17.223772299417032</v>
      </c>
      <c r="BH37" s="200">
        <f>IF(BH30="","N/A",IF(Formule!$K$1=2,BH32,IF(Formule!$K$1=3,MEDIAN(BH32:BH36),AVERAGE(BH32:BH36))))</f>
        <v>17.232445480875615</v>
      </c>
      <c r="BI37" s="200">
        <f>IF(BI30="","N/A",IF(Formule!$K$1=2,BI32,IF(Formule!$K$1=3,MEDIAN(BI32:BI36),AVERAGE(BI32:BI36))))</f>
        <v>17.222663910821439</v>
      </c>
      <c r="BJ37" s="200">
        <f>IF(BJ30="","N/A",IF(Formule!$K$1=2,BJ32,IF(Formule!$K$1=3,MEDIAN(BJ32:BJ36),AVERAGE(BJ32:BJ36))))</f>
        <v>17.236359515325198</v>
      </c>
      <c r="BK37" s="200">
        <f>IF(BK30="","N/A",IF(Formule!$K$1=2,BK32,IF(Formule!$K$1=3,MEDIAN(BK32:BK36),AVERAGE(BK32:BK36))))</f>
        <v>17.223772299417032</v>
      </c>
      <c r="BL37" s="200">
        <f>IF(BL30="","N/A",IF(Formule!$K$1=2,BL32,IF(Formule!$K$1=3,MEDIAN(BL32:BL36),AVERAGE(BL32:BL36))))</f>
        <v>17.232445480875615</v>
      </c>
      <c r="BM37" s="200">
        <f>IF(BM30="","N/A",IF(Formule!$K$1=2,BM32,IF(Formule!$K$1=3,MEDIAN(BM32:BM36),AVERAGE(BM32:BM36))))</f>
        <v>17.222663910821439</v>
      </c>
      <c r="BN37" s="200">
        <f>IF(BN30="","N/A",IF(Formule!$K$1=2,BN32,IF(Formule!$K$1=3,MEDIAN(BN32:BN36),AVERAGE(BN32:BN36))))</f>
        <v>17.236359515325198</v>
      </c>
      <c r="BO37" s="200">
        <f>IF(BO30="","N/A",IF(Formule!$K$1=2,BO32,IF(Formule!$K$1=3,MEDIAN(BO32:BO36),AVERAGE(BO32:BO36))))</f>
        <v>17.223772299417032</v>
      </c>
      <c r="BP37" s="200">
        <f>IF(BP30="","N/A",IF(Formule!$K$1=2,BP32,IF(Formule!$K$1=3,MEDIAN(BP32:BP36),AVERAGE(BP32:BP36))))</f>
        <v>17.232445480875615</v>
      </c>
      <c r="BQ37" s="200">
        <f>IF(BQ30="","N/A",IF(Formule!$K$1=2,BQ32,IF(Formule!$K$1=3,MEDIAN(BQ32:BQ36),AVERAGE(BQ32:BQ36))))</f>
        <v>17.222663910821439</v>
      </c>
      <c r="BR37" s="200">
        <f>IF(BR30="","N/A",IF(Formule!$K$1=2,BR32,IF(Formule!$K$1=3,MEDIAN(BR32:BR36),AVERAGE(BR32:BR36))))</f>
        <v>17.236359515325198</v>
      </c>
      <c r="BS37" s="200">
        <f>IF(BS30="","N/A",IF(Formule!$K$1=2,BS32,IF(Formule!$K$1=3,MEDIAN(BS32:BS36),AVERAGE(BS32:BS36))))</f>
        <v>17.223772299417032</v>
      </c>
      <c r="BT37" s="200">
        <f>IF(BT30="","N/A",IF(Formule!$K$1=2,BT32,IF(Formule!$K$1=3,MEDIAN(BT32:BT36),AVERAGE(BT32:BT36))))</f>
        <v>17.232445480875615</v>
      </c>
      <c r="BU37" s="200">
        <f>IF(BU30="","N/A",IF(Formule!$K$1=2,BU32,IF(Formule!$K$1=3,MEDIAN(BU32:BU36),AVERAGE(BU32:BU36))))</f>
        <v>17.222663910821439</v>
      </c>
      <c r="BV37" s="200">
        <f>IF(BV30="","N/A",IF(Formule!$K$1=2,BV32,IF(Formule!$K$1=3,MEDIAN(BV32:BV36),AVERAGE(BV32:BV36))))</f>
        <v>17.236359515325198</v>
      </c>
      <c r="BW37" s="221" t="str">
        <f>IF(BW30="","N/A",IF(Formule!$K$1=2,BW32,IF(Formule!$K$1=3,MEDIAN(BW32:BW36),AVERAGE(BW32:BW36))))</f>
        <v>N/A</v>
      </c>
      <c r="EC37" s="12"/>
      <c r="ED37" s="12"/>
      <c r="EE37" s="12"/>
      <c r="EF37" s="12"/>
      <c r="EG37" s="12"/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</row>
    <row r="38" spans="1:149" ht="13.8" thickBot="1" x14ac:dyDescent="0.3">
      <c r="A38" s="346" t="str">
        <f>IF(Formule!$K$1=1,"R =",IF(Formule!$K$1=2,"MR =",IF(Formule!$K$1=3,"R =","")))</f>
        <v>R =</v>
      </c>
      <c r="B38" s="347"/>
      <c r="C38" s="65">
        <f>IF(C30="","N/A",IF(Formule!$K$1=2,"N/A",MAX(C32:C36)-MIN(C32:C36)))</f>
        <v>3.7694552177875096E-2</v>
      </c>
      <c r="D38" s="65">
        <f>IF(D30="","N/A",IF(Formule!$K$1=2,ABS(C37-D37),MAX(D32:D36)-MIN(D32:D36)))</f>
        <v>2.961697927116802E-2</v>
      </c>
      <c r="E38" s="65">
        <f>IF(E30="","N/A",IF(Formule!$K$1=2,ABS(D37-E37),MAX(E32:E36)-MIN(E32:E36)))</f>
        <v>2.8710136178716539E-2</v>
      </c>
      <c r="F38" s="65">
        <f>IF(F30="","N/A",IF(Formule!$K$1=2,ABS(E37-F37),MAX(F32:F36)-MIN(F32:F36)))</f>
        <v>3.2516142465464526E-2</v>
      </c>
      <c r="G38" s="201">
        <f>IF(G30="","N/A",IF(Formule!$K$1=2,ABS(F37-G37),MAX(G32:G36)-MIN(G32:G36)))</f>
        <v>3.7694552177875096E-2</v>
      </c>
      <c r="H38" s="201">
        <f>IF(H30="","N/A",IF(Formule!$K$1=2,ABS(G37-H37),MAX(H32:H36)-MIN(H32:H36)))</f>
        <v>2.961697927116802E-2</v>
      </c>
      <c r="I38" s="201">
        <f>IF(I30="","N/A",IF(Formule!$K$1=2,ABS(H37-I37),MAX(I32:I36)-MIN(I32:I36)))</f>
        <v>2.8710136178716539E-2</v>
      </c>
      <c r="J38" s="201">
        <f>IF(J30="","N/A",IF(Formule!$K$1=2,ABS(I37-J37),MAX(J32:J36)-MIN(J32:J36)))</f>
        <v>3.2516142465464526E-2</v>
      </c>
      <c r="K38" s="201">
        <f>IF(K30="","N/A",IF(Formule!$K$1=2,ABS(J37-K37),MAX(K32:K36)-MIN(K32:K36)))</f>
        <v>3.7694552177875096E-2</v>
      </c>
      <c r="L38" s="201">
        <f>IF(L30="","N/A",IF(Formule!$K$1=2,ABS(K37-L37),MAX(L32:L36)-MIN(L32:L36)))</f>
        <v>2.961697927116802E-2</v>
      </c>
      <c r="M38" s="201">
        <f>IF(M30="","N/A",IF(Formule!$K$1=2,ABS(L37-M37),MAX(M32:M36)-MIN(M32:M36)))</f>
        <v>2.8710136178716539E-2</v>
      </c>
      <c r="N38" s="201">
        <f>IF(N30="","N/A",IF(Formule!$K$1=2,ABS(M37-N37),MAX(N32:N36)-MIN(N32:N36)))</f>
        <v>3.2516142465464526E-2</v>
      </c>
      <c r="O38" s="201">
        <f>IF(O30="","N/A",IF(Formule!$K$1=2,ABS(N37-O37),MAX(O32:O36)-MIN(O32:O36)))</f>
        <v>3.7694552177875096E-2</v>
      </c>
      <c r="P38" s="201">
        <f>IF(P30="","N/A",IF(Formule!$K$1=2,ABS(O37-P37),MAX(P32:P36)-MIN(P32:P36)))</f>
        <v>2.961697927116802E-2</v>
      </c>
      <c r="Q38" s="201">
        <f>IF(Q30="","N/A",IF(Formule!$K$1=2,ABS(P37-Q37),MAX(Q32:Q36)-MIN(Q32:Q36)))</f>
        <v>2.8710136178716539E-2</v>
      </c>
      <c r="R38" s="201">
        <f>IF(R30="","N/A",IF(Formule!$K$1=2,ABS(Q37-R37),MAX(R32:R36)-MIN(R32:R36)))</f>
        <v>3.2516142465464526E-2</v>
      </c>
      <c r="S38" s="201">
        <f>IF(S30="","N/A",IF(Formule!$K$1=2,ABS(R37-S37),MAX(S32:S36)-MIN(S32:S36)))</f>
        <v>3.7694552177875096E-2</v>
      </c>
      <c r="T38" s="201">
        <f>IF(T30="","N/A",IF(Formule!$K$1=2,ABS(S37-T37),MAX(T32:T36)-MIN(T32:T36)))</f>
        <v>2.961697927116802E-2</v>
      </c>
      <c r="U38" s="201">
        <f>IF(U30="","N/A",IF(Formule!$K$1=2,ABS(T37-U37),MAX(U32:U36)-MIN(U32:U36)))</f>
        <v>2.8710136178716539E-2</v>
      </c>
      <c r="V38" s="201">
        <f>IF(V30="","N/A",IF(Formule!$K$1=2,ABS(U37-V37),MAX(V32:V36)-MIN(V32:V36)))</f>
        <v>3.2516142465464526E-2</v>
      </c>
      <c r="W38" s="201">
        <f>IF(W30="","N/A",IF(Formule!$K$1=2,ABS(V37-W37),MAX(W32:W36)-MIN(W32:W36)))</f>
        <v>3.7694552177875096E-2</v>
      </c>
      <c r="X38" s="201">
        <f>IF(X30="","N/A",IF(Formule!$K$1=2,ABS(W37-X37),MAX(X32:X36)-MIN(X32:X36)))</f>
        <v>2.961697927116802E-2</v>
      </c>
      <c r="Y38" s="201">
        <f>IF(Y30="","N/A",IF(Formule!$K$1=2,ABS(X37-Y37),MAX(Y32:Y36)-MIN(Y32:Y36)))</f>
        <v>2.8710136178716539E-2</v>
      </c>
      <c r="Z38" s="201">
        <f>IF(Z30="","N/A",IF(Formule!$K$1=2,ABS(Y37-Z37),MAX(Z32:Z36)-MIN(Z32:Z36)))</f>
        <v>3.2516142465464526E-2</v>
      </c>
      <c r="AA38" s="202">
        <f>IF(AA30="","N/A",IF(Formule!$K$1=2,ABS(Z37-AA37),MAX(AA32:AA36)-MIN(AA32:AA36)))</f>
        <v>3.7694552177875096E-2</v>
      </c>
      <c r="AB38" s="262">
        <f>IF(AB30="","N/A",IF(Formule!$K$1=2,ABS(AA37-AB37),MAX(AB32:AB36)-MIN(AB32:AB36)))</f>
        <v>2.961697927116802E-2</v>
      </c>
      <c r="AC38" s="202">
        <f>IF(AC30="","N/A",IF(Formule!$K$1=2,ABS(AB37-AC37),MAX(AC32:AC36)-MIN(AC32:AC36)))</f>
        <v>2.8710136178716539E-2</v>
      </c>
      <c r="AD38" s="202">
        <f>IF(AD30="","N/A",IF(Formule!$K$1=2,ABS(AC37-AD37),MAX(AD32:AD36)-MIN(AD32:AD36)))</f>
        <v>3.2516142465464526E-2</v>
      </c>
      <c r="AE38" s="202">
        <f>IF(AE30="","N/A",IF(Formule!$K$1=2,ABS(AD37-AE37),MAX(AE32:AE36)-MIN(AE32:AE36)))</f>
        <v>3.7694552177875096E-2</v>
      </c>
      <c r="AF38" s="202">
        <f>IF(AF30="","N/A",IF(Formule!$K$1=2,ABS(AE37-AF37),MAX(AF32:AF36)-MIN(AF32:AF36)))</f>
        <v>2.961697927116802E-2</v>
      </c>
      <c r="AG38" s="202">
        <f>IF(AG30="","N/A",IF(Formule!$K$1=2,ABS(AF37-AG37),MAX(AG32:AG36)-MIN(AG32:AG36)))</f>
        <v>2.8710136178716539E-2</v>
      </c>
      <c r="AH38" s="202">
        <f>IF(AH30="","N/A",IF(Formule!$K$1=2,ABS(AG37-AH37),MAX(AH32:AH36)-MIN(AH32:AH36)))</f>
        <v>3.2516142465464526E-2</v>
      </c>
      <c r="AI38" s="202">
        <f>IF(AI30="","N/A",IF(Formule!$K$1=2,ABS(AH37-AI37),MAX(AI32:AI36)-MIN(AI32:AI36)))</f>
        <v>3.7694552177875096E-2</v>
      </c>
      <c r="AJ38" s="202">
        <f>IF(AJ30="","N/A",IF(Formule!$K$1=2,ABS(AI37-AJ37),MAX(AJ32:AJ36)-MIN(AJ32:AJ36)))</f>
        <v>2.961697927116802E-2</v>
      </c>
      <c r="AK38" s="202">
        <f>IF(AK30="","N/A",IF(Formule!$K$1=2,ABS(AJ37-AK37),MAX(AK32:AK36)-MIN(AK32:AK36)))</f>
        <v>2.8710136178716539E-2</v>
      </c>
      <c r="AL38" s="202">
        <f>IF(AL30="","N/A",IF(Formule!$K$1=2,ABS(AK37-AL37),MAX(AL32:AL36)-MIN(AL32:AL36)))</f>
        <v>3.2516142465464526E-2</v>
      </c>
      <c r="AM38" s="202">
        <f>IF(AM30="","N/A",IF(Formule!$K$1=2,ABS(AL37-AM37),MAX(AM32:AM36)-MIN(AM32:AM36)))</f>
        <v>3.7694552177875096E-2</v>
      </c>
      <c r="AN38" s="202">
        <f>IF(AN30="","N/A",IF(Formule!$K$1=2,ABS(AM37-AN37),MAX(AN32:AN36)-MIN(AN32:AN36)))</f>
        <v>2.961697927116802E-2</v>
      </c>
      <c r="AO38" s="202">
        <f>IF(AO30="","N/A",IF(Formule!$K$1=2,ABS(AN37-AO37),MAX(AO32:AO36)-MIN(AO32:AO36)))</f>
        <v>2.8710136178716539E-2</v>
      </c>
      <c r="AP38" s="202">
        <f>IF(AP30="","N/A",IF(Formule!$K$1=2,ABS(AO37-AP37),MAX(AP32:AP36)-MIN(AP32:AP36)))</f>
        <v>3.2516142465464526E-2</v>
      </c>
      <c r="AQ38" s="202">
        <f>IF(AQ30="","N/A",IF(Formule!$K$1=2,ABS(AP37-AQ37),MAX(AQ32:AQ36)-MIN(AQ32:AQ36)))</f>
        <v>3.7694552177875096E-2</v>
      </c>
      <c r="AR38" s="202">
        <f>IF(AR30="","N/A",IF(Formule!$K$1=2,ABS(AQ37-AR37),MAX(AR32:AR36)-MIN(AR32:AR36)))</f>
        <v>2.961697927116802E-2</v>
      </c>
      <c r="AS38" s="202">
        <f>IF(AS30="","N/A",IF(Formule!$K$1=2,ABS(AR37-AS37),MAX(AS32:AS36)-MIN(AS32:AS36)))</f>
        <v>2.8710136178716539E-2</v>
      </c>
      <c r="AT38" s="202">
        <f>IF(AT30="","N/A",IF(Formule!$K$1=2,ABS(AS37-AT37),MAX(AT32:AT36)-MIN(AT32:AT36)))</f>
        <v>3.2516142465464526E-2</v>
      </c>
      <c r="AU38" s="202">
        <f>IF(AU30="","N/A",IF(Formule!$K$1=2,ABS(AT37-AU37),MAX(AU32:AU36)-MIN(AU32:AU36)))</f>
        <v>3.7694552177875096E-2</v>
      </c>
      <c r="AV38" s="202">
        <f>IF(AV30="","N/A",IF(Formule!$K$1=2,ABS(AU37-AV37),MAX(AV32:AV36)-MIN(AV32:AV36)))</f>
        <v>2.961697927116802E-2</v>
      </c>
      <c r="AW38" s="202">
        <f>IF(AW30="","N/A",IF(Formule!$K$1=2,ABS(AV37-AW37),MAX(AW32:AW36)-MIN(AW32:AW36)))</f>
        <v>2.8710136178716539E-2</v>
      </c>
      <c r="AX38" s="202">
        <f>IF(AX30="","N/A",IF(Formule!$K$1=2,ABS(AW37-AX37),MAX(AX32:AX36)-MIN(AX32:AX36)))</f>
        <v>3.2516142465464526E-2</v>
      </c>
      <c r="AY38" s="202">
        <f>IF(AY30="","N/A",IF(Formule!$K$1=2,ABS(AX37-AY37),MAX(AY32:AY36)-MIN(AY32:AY36)))</f>
        <v>3.7694552177875096E-2</v>
      </c>
      <c r="AZ38" s="202">
        <f>IF(AZ30="","N/A",IF(Formule!$K$1=2,ABS(AY37-AZ37),MAX(AZ32:AZ36)-MIN(AZ32:AZ36)))</f>
        <v>2.961697927116802E-2</v>
      </c>
      <c r="BA38" s="202">
        <f>IF(BA30="","N/A",IF(Formule!$K$1=2,ABS(AZ37-BA37),MAX(BA32:BA36)-MIN(BA32:BA36)))</f>
        <v>2.8710136178716539E-2</v>
      </c>
      <c r="BB38" s="202">
        <f>IF(BB30="","N/A",IF(Formule!$K$1=2,ABS(BA37-BB37),MAX(BB32:BB36)-MIN(BB32:BB36)))</f>
        <v>3.2516142465464526E-2</v>
      </c>
      <c r="BC38" s="202">
        <f>IF(BC30="","N/A",IF(Formule!$K$1=2,ABS(BB37-BC37),MAX(BC32:BC36)-MIN(BC32:BC36)))</f>
        <v>3.7694552177875096E-2</v>
      </c>
      <c r="BD38" s="202">
        <f>IF(BD30="","N/A",IF(Formule!$K$1=2,ABS(BC37-BD37),MAX(BD32:BD36)-MIN(BD32:BD36)))</f>
        <v>2.961697927116802E-2</v>
      </c>
      <c r="BE38" s="202">
        <f>IF(BE30="","N/A",IF(Formule!$K$1=2,ABS(BD37-BE37),MAX(BE32:BE36)-MIN(BE32:BE36)))</f>
        <v>2.8710136178716539E-2</v>
      </c>
      <c r="BF38" s="202">
        <f>IF(BF30="","N/A",IF(Formule!$K$1=2,ABS(BE37-BF37),MAX(BF32:BF36)-MIN(BF32:BF36)))</f>
        <v>3.2516142465464526E-2</v>
      </c>
      <c r="BG38" s="202">
        <f>IF(BG30="","N/A",IF(Formule!$K$1=2,ABS(BF37-BG37),MAX(BG32:BG36)-MIN(BG32:BG36)))</f>
        <v>3.7694552177875096E-2</v>
      </c>
      <c r="BH38" s="202">
        <f>IF(BH30="","N/A",IF(Formule!$K$1=2,ABS(BG37-BH37),MAX(BH32:BH36)-MIN(BH32:BH36)))</f>
        <v>2.961697927116802E-2</v>
      </c>
      <c r="BI38" s="202">
        <f>IF(BI30="","N/A",IF(Formule!$K$1=2,ABS(BH37-BI37),MAX(BI32:BI36)-MIN(BI32:BI36)))</f>
        <v>2.8710136178716539E-2</v>
      </c>
      <c r="BJ38" s="202">
        <f>IF(BJ30="","N/A",IF(Formule!$K$1=2,ABS(BI37-BJ37),MAX(BJ32:BJ36)-MIN(BJ32:BJ36)))</f>
        <v>3.2516142465464526E-2</v>
      </c>
      <c r="BK38" s="202">
        <f>IF(BK30="","N/A",IF(Formule!$K$1=2,ABS(BJ37-BK37),MAX(BK32:BK36)-MIN(BK32:BK36)))</f>
        <v>3.7694552177875096E-2</v>
      </c>
      <c r="BL38" s="202">
        <f>IF(BL30="","N/A",IF(Formule!$K$1=2,ABS(BK37-BL37),MAX(BL32:BL36)-MIN(BL32:BL36)))</f>
        <v>2.961697927116802E-2</v>
      </c>
      <c r="BM38" s="202">
        <f>IF(BM30="","N/A",IF(Formule!$K$1=2,ABS(BL37-BM37),MAX(BM32:BM36)-MIN(BM32:BM36)))</f>
        <v>2.8710136178716539E-2</v>
      </c>
      <c r="BN38" s="202">
        <f>IF(BN30="","N/A",IF(Formule!$K$1=2,ABS(BM37-BN37),MAX(BN32:BN36)-MIN(BN32:BN36)))</f>
        <v>3.2516142465464526E-2</v>
      </c>
      <c r="BO38" s="202">
        <f>IF(BO30="","N/A",IF(Formule!$K$1=2,ABS(BN37-BO37),MAX(BO32:BO36)-MIN(BO32:BO36)))</f>
        <v>3.7694552177875096E-2</v>
      </c>
      <c r="BP38" s="202">
        <f>IF(BP30="","N/A",IF(Formule!$K$1=2,ABS(BO37-BP37),MAX(BP32:BP36)-MIN(BP32:BP36)))</f>
        <v>2.961697927116802E-2</v>
      </c>
      <c r="BQ38" s="202">
        <f>IF(BQ30="","N/A",IF(Formule!$K$1=2,ABS(BP37-BQ37),MAX(BQ32:BQ36)-MIN(BQ32:BQ36)))</f>
        <v>2.8710136178716539E-2</v>
      </c>
      <c r="BR38" s="202">
        <f>IF(BR30="","N/A",IF(Formule!$K$1=2,ABS(BQ37-BR37),MAX(BR32:BR36)-MIN(BR32:BR36)))</f>
        <v>3.2516142465464526E-2</v>
      </c>
      <c r="BS38" s="202">
        <f>IF(BS30="","N/A",IF(Formule!$K$1=2,ABS(BR37-BS37),MAX(BS32:BS36)-MIN(BS32:BS36)))</f>
        <v>3.7694552177875096E-2</v>
      </c>
      <c r="BT38" s="202">
        <f>IF(BT30="","N/A",IF(Formule!$K$1=2,ABS(BS37-BT37),MAX(BT32:BT36)-MIN(BT32:BT36)))</f>
        <v>2.961697927116802E-2</v>
      </c>
      <c r="BU38" s="202">
        <f>IF(BU30="","N/A",IF(Formule!$K$1=2,ABS(BT37-BU37),MAX(BU32:BU36)-MIN(BU32:BU36)))</f>
        <v>2.8710136178716539E-2</v>
      </c>
      <c r="BV38" s="202">
        <f>IF(BV30="","N/A",IF(Formule!$K$1=2,ABS(BU37-BV37),MAX(BV32:BV36)-MIN(BV32:BV36)))</f>
        <v>3.2516142465464526E-2</v>
      </c>
      <c r="BW38" s="221" t="str">
        <f>IF(BW30="","N/A",IF(Formule!$K$1=2,ABS(BV37-BW37),MAX(BW32:BW36)-MIN(BW32:BW36)))</f>
        <v>N/A</v>
      </c>
      <c r="DI38" s="26"/>
      <c r="DJ38" s="26"/>
      <c r="DK38" s="26"/>
      <c r="DL38" s="26"/>
      <c r="DM38" s="26"/>
      <c r="DN38" s="26"/>
      <c r="DO38" s="26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</row>
    <row r="39" spans="1:149" ht="12.75" customHeight="1" x14ac:dyDescent="0.25">
      <c r="A39" s="195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96"/>
      <c r="R39" s="196"/>
      <c r="S39" s="196"/>
      <c r="T39" s="196"/>
      <c r="U39" s="196"/>
      <c r="V39" s="196"/>
      <c r="W39" s="196"/>
      <c r="X39" s="196"/>
      <c r="Y39" s="196"/>
      <c r="Z39" s="196"/>
      <c r="AA39" s="196"/>
      <c r="AB39" s="68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</row>
    <row r="40" spans="1:149" ht="12.75" customHeight="1" thickBot="1" x14ac:dyDescent="0.3">
      <c r="A40" s="82"/>
      <c r="B40" s="333" t="s">
        <v>106</v>
      </c>
      <c r="C40" s="333"/>
      <c r="D40" s="333"/>
      <c r="E40" s="333"/>
      <c r="F40" s="333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68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</row>
    <row r="41" spans="1:149" ht="15.75" customHeight="1" thickBot="1" x14ac:dyDescent="0.3">
      <c r="A41" s="82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341" t="s">
        <v>130</v>
      </c>
      <c r="T41" s="342"/>
      <c r="U41" s="342"/>
      <c r="V41" s="342"/>
      <c r="W41" s="342"/>
      <c r="X41" s="343"/>
      <c r="Z41" s="333" t="s">
        <v>23</v>
      </c>
      <c r="AA41" s="333"/>
      <c r="AB41" s="333"/>
      <c r="AC41" s="333"/>
      <c r="AD41" s="333"/>
      <c r="AE41" s="48"/>
      <c r="AF41" s="48"/>
      <c r="AG41" s="48"/>
      <c r="AH41" s="48"/>
      <c r="AI41" s="48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</row>
    <row r="42" spans="1:149" ht="15.9" customHeight="1" thickTop="1" x14ac:dyDescent="0.3">
      <c r="A42" s="82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82"/>
      <c r="T42" s="48"/>
      <c r="U42" s="48"/>
      <c r="V42" s="48"/>
      <c r="W42" s="48"/>
      <c r="X42" s="83"/>
      <c r="Z42" s="48"/>
      <c r="AA42" s="48"/>
      <c r="AB42" s="48"/>
      <c r="AC42" s="48"/>
      <c r="AD42" s="48"/>
      <c r="AE42" s="48"/>
      <c r="AF42" s="48"/>
      <c r="AG42" s="48"/>
      <c r="AH42" s="48"/>
      <c r="AI42" s="48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</row>
    <row r="43" spans="1:149" ht="15.9" customHeight="1" x14ac:dyDescent="0.3">
      <c r="A43" s="82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82"/>
      <c r="T43" s="48"/>
      <c r="U43" s="356" t="s">
        <v>24</v>
      </c>
      <c r="V43" s="356"/>
      <c r="W43" s="356" t="s">
        <v>25</v>
      </c>
      <c r="X43" s="357"/>
      <c r="Z43" s="48"/>
      <c r="AA43" s="48"/>
      <c r="AB43" s="48"/>
      <c r="AC43" s="48"/>
      <c r="AD43" s="48"/>
      <c r="AE43" s="48"/>
      <c r="AF43" s="48"/>
      <c r="AG43" s="48"/>
      <c r="AH43" s="48"/>
      <c r="AI43" s="48"/>
      <c r="AJ43" s="67"/>
      <c r="AK43" s="67"/>
      <c r="AL43" s="67"/>
      <c r="AM43" s="67"/>
      <c r="AN43" s="67"/>
      <c r="AO43" s="67"/>
      <c r="AP43" s="67"/>
      <c r="AQ43" s="67"/>
      <c r="AR43" s="67"/>
      <c r="AS43" s="67"/>
      <c r="AT43" s="67"/>
      <c r="AU43" s="67"/>
      <c r="AV43" s="67"/>
      <c r="AW43" s="67"/>
      <c r="AX43" s="67"/>
      <c r="AY43" s="67"/>
      <c r="AZ43" s="67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</row>
    <row r="44" spans="1:149" ht="15.75" customHeight="1" x14ac:dyDescent="0.25">
      <c r="A44" s="82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84" t="s">
        <v>26</v>
      </c>
      <c r="T44" s="122"/>
      <c r="U44" s="356">
        <f ca="1">IF(P5="","",IF(AND(Formule!BC1=1,Formule!R15&gt;=1),"",IF(K9=3,"N/A",ROUND(COUNTIF($C$37:$BA$37,"&lt;"&amp;AH3)*1000000/Formule!T8,Formule!R$128))))</f>
        <v>0</v>
      </c>
      <c r="V44" s="356"/>
      <c r="W44" s="356">
        <f ca="1">IF(P5="","",IF(AND(Formule!BC1=1,Formule!R15&gt;=1),"",IF(K9=3,"N/A",NORMSDIST(Formule!R130)*1000000)))</f>
        <v>0.94691482703403418</v>
      </c>
      <c r="X44" s="357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</row>
    <row r="45" spans="1:149" ht="12.75" customHeight="1" x14ac:dyDescent="0.25">
      <c r="A45" s="82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84" t="s">
        <v>27</v>
      </c>
      <c r="T45" s="48"/>
      <c r="U45" s="356">
        <f ca="1">IF(P5="","",IF(AND(Formule!BC1=1,Formule!R15&gt;=1),"",IF(K9=2,"N/A",ROUND(COUNTIF($C$37:$BA$37,"&gt;"&amp;AH5)*1000000/Formule!T8,Formule!R$128))))</f>
        <v>0</v>
      </c>
      <c r="V45" s="356"/>
      <c r="W45" s="356">
        <f ca="1">IF(P5="","",IF(AND(Formule!BC1=1,Formule!R15&gt;=1),"",IF(K9=2,"N/A",(1-NORMSDIST(Formule!R133))*1000000)))</f>
        <v>0</v>
      </c>
      <c r="X45" s="357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</row>
    <row r="46" spans="1:149" ht="14.25" customHeight="1" x14ac:dyDescent="0.25">
      <c r="A46" s="82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84" t="s">
        <v>28</v>
      </c>
      <c r="T46" s="48"/>
      <c r="U46" s="356">
        <f ca="1">IF(P5="","",IF(AND(Formule!BC1=1,Formule!R15&gt;=1),"",SUM(U44:V45)))</f>
        <v>0</v>
      </c>
      <c r="V46" s="356"/>
      <c r="W46" s="356">
        <f ca="1">IF(P5="","",IF(AND(Formule!BC1=1,Formule!R15&gt;=1),"",IF(AH3="",W45,IF(AH5="",W44,ROUND(SUM(W44:X45),Formule!R$128)))))</f>
        <v>0.94699999999999995</v>
      </c>
      <c r="X46" s="357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68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</row>
    <row r="47" spans="1:149" ht="12.75" customHeight="1" x14ac:dyDescent="0.25">
      <c r="A47" s="82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84" t="s">
        <v>29</v>
      </c>
      <c r="T47" s="48"/>
      <c r="U47" s="351">
        <f ca="1">IF(P5="","",IF(AND(Formule!BC1=1,Formule!R15&gt;=1),"",ROUND(U46/1000000,3)))</f>
        <v>0</v>
      </c>
      <c r="V47" s="351"/>
      <c r="W47" s="351">
        <f ca="1">IF(P5="","",IF(AND(Formule!BC1=1,Formule!R15&gt;=1),"",ROUND(W46/1000000,3)))</f>
        <v>0</v>
      </c>
      <c r="X47" s="355"/>
      <c r="Z47" s="48"/>
      <c r="AA47" s="48"/>
      <c r="AB47" s="48"/>
      <c r="AC47" s="48"/>
      <c r="AD47" s="48"/>
      <c r="AE47" s="48"/>
      <c r="AF47" s="48"/>
      <c r="AG47" s="48"/>
      <c r="AH47" s="48"/>
      <c r="AI47" s="4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68"/>
      <c r="AU47" s="68"/>
      <c r="AV47" s="68"/>
      <c r="AW47" s="68"/>
      <c r="AX47" s="68"/>
      <c r="AY47" s="68"/>
      <c r="AZ47" s="68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</row>
    <row r="48" spans="1:149" ht="12.75" customHeight="1" x14ac:dyDescent="0.25">
      <c r="A48" s="82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82"/>
      <c r="T48" s="48"/>
      <c r="U48" s="48"/>
      <c r="V48" s="48"/>
      <c r="W48" s="48"/>
      <c r="X48" s="83"/>
      <c r="Z48" s="48"/>
      <c r="AA48" s="48"/>
      <c r="AB48" s="48"/>
      <c r="AC48" s="48"/>
      <c r="AD48" s="48"/>
      <c r="AE48" s="48"/>
      <c r="AF48" s="48"/>
      <c r="AG48" s="48"/>
      <c r="AH48" s="48"/>
      <c r="AI48" s="4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</row>
    <row r="49" spans="1:149" ht="12.75" customHeight="1" x14ac:dyDescent="0.25">
      <c r="A49" s="82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352" t="str">
        <f ca="1">IF(P5="","",IF(AND(Formule!BC1=1,Formule!R15&gt;=1),"",IF(Formule!M173=1,CONCATENATE(Formule!P171,Formule!S171*100,Formule!T171),IF(Formule!M174=1,CONCATENATE(Formule!P172,Formule!T172*100,Formule!U172),IF(Formule!M175=1,CONCATENATE(Formule!P171,Formule!S171*100,Formule!T171,Formule!U173,Formule!P172,Formule!T172*100,Formule!U172),"Process output without usual defects")))))</f>
        <v>Process output without usual defects</v>
      </c>
      <c r="T49" s="353"/>
      <c r="U49" s="353"/>
      <c r="V49" s="353"/>
      <c r="W49" s="353"/>
      <c r="X49" s="354"/>
      <c r="Z49" s="48"/>
      <c r="AA49" s="48"/>
      <c r="AB49" s="48"/>
      <c r="AC49" s="48"/>
      <c r="AD49" s="48"/>
      <c r="AE49" s="48"/>
      <c r="AF49" s="48"/>
      <c r="AG49" s="48"/>
      <c r="AH49" s="48"/>
      <c r="AI49" s="4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</row>
    <row r="50" spans="1:149" ht="12.75" customHeight="1" x14ac:dyDescent="0.25">
      <c r="A50" s="82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352"/>
      <c r="T50" s="353"/>
      <c r="U50" s="353"/>
      <c r="V50" s="353"/>
      <c r="W50" s="353"/>
      <c r="X50" s="354"/>
      <c r="Z50" s="48"/>
      <c r="AA50" s="48"/>
      <c r="AB50" s="48"/>
      <c r="AC50" s="48"/>
      <c r="AD50" s="48"/>
      <c r="AE50" s="48"/>
      <c r="AF50" s="48"/>
      <c r="AG50" s="48"/>
      <c r="AH50" s="48"/>
      <c r="AI50" s="48"/>
      <c r="AJ50" s="68"/>
      <c r="AK50" s="68"/>
      <c r="AL50" s="68"/>
      <c r="AM50" s="68"/>
      <c r="AN50" s="68"/>
      <c r="AO50" s="68"/>
      <c r="AP50" s="68"/>
      <c r="AQ50" s="68"/>
      <c r="AR50" s="68"/>
      <c r="AS50" s="68"/>
      <c r="AT50" s="68"/>
      <c r="AU50" s="68"/>
      <c r="AV50" s="68"/>
      <c r="AW50" s="68"/>
      <c r="AX50" s="68"/>
      <c r="AY50" s="68"/>
      <c r="AZ50" s="68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</row>
    <row r="51" spans="1:149" ht="12.75" customHeight="1" thickBot="1" x14ac:dyDescent="0.3">
      <c r="A51" s="82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85"/>
      <c r="T51" s="86"/>
      <c r="U51" s="86"/>
      <c r="V51" s="86"/>
      <c r="W51" s="86"/>
      <c r="X51" s="87"/>
      <c r="Z51" s="48"/>
      <c r="AA51" s="48"/>
      <c r="AB51" s="48"/>
      <c r="AC51" s="48"/>
      <c r="AD51" s="48"/>
      <c r="AE51" s="48"/>
      <c r="AF51" s="48"/>
      <c r="AG51" s="48"/>
      <c r="AH51" s="48"/>
      <c r="AI51" s="4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</row>
    <row r="52" spans="1:149" ht="12.75" customHeight="1" x14ac:dyDescent="0.25">
      <c r="A52" s="82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Z52" s="48"/>
      <c r="AA52" s="48"/>
      <c r="AB52" s="48"/>
      <c r="AC52" s="48"/>
      <c r="AD52" s="48"/>
      <c r="AE52" s="48"/>
      <c r="AF52" s="48"/>
      <c r="AG52" s="48"/>
      <c r="AH52" s="48"/>
      <c r="AI52" s="4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</row>
    <row r="53" spans="1:149" ht="12.75" customHeight="1" x14ac:dyDescent="0.25">
      <c r="A53" s="82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68"/>
      <c r="AK53" s="68"/>
      <c r="AL53" s="68"/>
      <c r="AM53" s="68"/>
      <c r="AN53" s="68"/>
      <c r="AO53" s="68"/>
      <c r="AP53" s="68"/>
      <c r="AQ53" s="68"/>
      <c r="AR53" s="68"/>
      <c r="AS53" s="68"/>
      <c r="AT53" s="68"/>
      <c r="AU53" s="68"/>
      <c r="AV53" s="68"/>
      <c r="AW53" s="68"/>
      <c r="AX53" s="68"/>
      <c r="AY53" s="68"/>
      <c r="AZ53" s="68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</row>
    <row r="54" spans="1:149" ht="12.75" customHeight="1" x14ac:dyDescent="0.25">
      <c r="A54" s="82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AA54" s="48"/>
      <c r="AB54" s="68"/>
      <c r="AC54" s="68"/>
      <c r="AD54" s="68"/>
      <c r="AE54" s="68"/>
      <c r="AF54" s="68"/>
      <c r="AG54" s="68"/>
      <c r="AH54" s="68"/>
      <c r="AI54" s="68"/>
      <c r="AJ54" s="68"/>
      <c r="AK54" s="68"/>
      <c r="AL54" s="68"/>
      <c r="AM54" s="68"/>
      <c r="AN54" s="68"/>
      <c r="AO54" s="68"/>
      <c r="AP54" s="68"/>
      <c r="AQ54" s="68"/>
      <c r="AR54" s="68"/>
      <c r="AS54" s="68"/>
      <c r="AT54" s="68"/>
      <c r="AU54" s="68"/>
      <c r="AV54" s="68"/>
      <c r="AW54" s="68"/>
      <c r="AX54" s="68"/>
      <c r="AY54" s="68"/>
      <c r="AZ54" s="68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</row>
    <row r="55" spans="1:149" ht="17.25" customHeight="1" x14ac:dyDescent="0.25">
      <c r="A55" s="82"/>
      <c r="L55" s="48"/>
      <c r="M55" s="48"/>
      <c r="N55" s="48"/>
      <c r="O55" s="48"/>
      <c r="P55" s="48"/>
      <c r="Q55" s="48"/>
      <c r="R55" s="48"/>
      <c r="AA55" s="48"/>
      <c r="AB55" s="68"/>
      <c r="AC55" s="68"/>
      <c r="AD55" s="68"/>
      <c r="AE55" s="68"/>
      <c r="AF55" s="68"/>
      <c r="AG55" s="68"/>
      <c r="AH55" s="68"/>
      <c r="AI55" s="68"/>
      <c r="AJ55" s="68"/>
      <c r="AK55" s="68"/>
      <c r="AL55" s="68"/>
      <c r="AM55" s="68"/>
      <c r="AN55" s="68"/>
      <c r="AO55" s="68"/>
      <c r="AP55" s="68"/>
      <c r="AQ55" s="68"/>
      <c r="AR55" s="68"/>
      <c r="AS55" s="68"/>
      <c r="AT55" s="68"/>
      <c r="AU55" s="68"/>
      <c r="AV55" s="68"/>
      <c r="AW55" s="68"/>
      <c r="AX55" s="68"/>
      <c r="AY55" s="68"/>
      <c r="AZ55" s="68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</row>
    <row r="56" spans="1:149" ht="16.5" customHeight="1" x14ac:dyDescent="0.25">
      <c r="A56" s="82"/>
      <c r="R56" s="48"/>
      <c r="AA56" s="48"/>
      <c r="AB56" s="68"/>
      <c r="AC56" s="68"/>
      <c r="AD56" s="68"/>
      <c r="AE56" s="68"/>
      <c r="AF56" s="68"/>
      <c r="AG56" s="68"/>
      <c r="AH56" s="68"/>
      <c r="AI56" s="68"/>
      <c r="AJ56" s="68"/>
      <c r="AK56" s="68"/>
      <c r="AL56" s="68"/>
      <c r="AM56" s="68"/>
      <c r="AN56" s="68"/>
      <c r="AO56" s="68"/>
      <c r="AP56" s="68"/>
      <c r="AQ56" s="68"/>
      <c r="AR56" s="68"/>
      <c r="AS56" s="68"/>
      <c r="AT56" s="68"/>
      <c r="AU56" s="68"/>
      <c r="AV56" s="68"/>
      <c r="AW56" s="68"/>
      <c r="AX56" s="68"/>
      <c r="AY56" s="68"/>
      <c r="AZ56" s="68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</row>
    <row r="57" spans="1:149" ht="12.75" customHeight="1" x14ac:dyDescent="0.25">
      <c r="A57" s="82"/>
      <c r="R57" s="48"/>
      <c r="AA57" s="48"/>
      <c r="AB57" s="68"/>
      <c r="AC57" s="68"/>
      <c r="AD57" s="68"/>
      <c r="AE57" s="68"/>
      <c r="AF57" s="68"/>
      <c r="AG57" s="68"/>
      <c r="AH57" s="68"/>
      <c r="AI57" s="68"/>
      <c r="AJ57" s="68"/>
      <c r="AK57" s="68"/>
      <c r="AL57" s="68"/>
      <c r="AM57" s="68"/>
      <c r="AN57" s="68"/>
      <c r="AO57" s="68"/>
      <c r="AP57" s="68"/>
      <c r="AQ57" s="68"/>
      <c r="AR57" s="68"/>
      <c r="AS57" s="68"/>
      <c r="AT57" s="68"/>
      <c r="AU57" s="68"/>
      <c r="AV57" s="68"/>
      <c r="AW57" s="68"/>
      <c r="AX57" s="68"/>
      <c r="AY57" s="68"/>
      <c r="AZ57" s="68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</row>
    <row r="58" spans="1:149" ht="12.75" customHeight="1" x14ac:dyDescent="0.25">
      <c r="A58" s="82"/>
      <c r="R58" s="48"/>
      <c r="AA58" s="48"/>
      <c r="AB58" s="68"/>
      <c r="AC58" s="68"/>
      <c r="AD58" s="68"/>
      <c r="AE58" s="68"/>
      <c r="AF58" s="68"/>
      <c r="AG58" s="68"/>
      <c r="AH58" s="68"/>
      <c r="AI58" s="68"/>
      <c r="AJ58" s="68"/>
      <c r="AK58" s="68"/>
      <c r="AL58" s="68"/>
      <c r="AM58" s="68"/>
      <c r="AN58" s="68"/>
      <c r="AO58" s="68"/>
      <c r="AP58" s="68"/>
      <c r="AQ58" s="68"/>
      <c r="AR58" s="68"/>
      <c r="AS58" s="68"/>
      <c r="AT58" s="68"/>
      <c r="AU58" s="68"/>
      <c r="AV58" s="68"/>
      <c r="AW58" s="68"/>
      <c r="AX58" s="68"/>
      <c r="AY58" s="68"/>
      <c r="AZ58" s="68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</row>
    <row r="59" spans="1:149" ht="12.75" customHeight="1" x14ac:dyDescent="0.25">
      <c r="A59" s="82"/>
      <c r="R59" s="48"/>
      <c r="AA59" s="48"/>
      <c r="AB59" s="68"/>
      <c r="AC59" s="68"/>
      <c r="AD59" s="68"/>
      <c r="AE59" s="68"/>
      <c r="AF59" s="68"/>
      <c r="AG59" s="68"/>
      <c r="AH59" s="68"/>
      <c r="AI59" s="68"/>
      <c r="AJ59" s="68"/>
      <c r="AK59" s="68"/>
      <c r="AL59" s="68"/>
      <c r="AM59" s="68"/>
      <c r="AN59" s="68"/>
      <c r="AO59" s="68"/>
      <c r="AP59" s="68"/>
      <c r="AQ59" s="68"/>
      <c r="AR59" s="68"/>
      <c r="AS59" s="68"/>
      <c r="AT59" s="68"/>
      <c r="AU59" s="68"/>
      <c r="AV59" s="68"/>
      <c r="AW59" s="68"/>
      <c r="AX59" s="68"/>
      <c r="AY59" s="68"/>
      <c r="AZ59" s="68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</row>
    <row r="60" spans="1:149" ht="14.1" customHeight="1" x14ac:dyDescent="0.25">
      <c r="A60" s="82"/>
      <c r="R60" s="48"/>
      <c r="AA60" s="4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</row>
    <row r="61" spans="1:149" ht="12.75" customHeight="1" x14ac:dyDescent="0.25">
      <c r="A61" s="82"/>
      <c r="R61" s="48"/>
      <c r="AA61" s="4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</row>
    <row r="62" spans="1:149" ht="12.75" customHeight="1" x14ac:dyDescent="0.25">
      <c r="A62" s="82"/>
      <c r="R62" s="48"/>
      <c r="AA62" s="48"/>
      <c r="AB62" s="68"/>
      <c r="AC62" s="68"/>
      <c r="AD62" s="68"/>
      <c r="AE62" s="68"/>
      <c r="AF62" s="68"/>
      <c r="AG62" s="68"/>
      <c r="AH62" s="68"/>
      <c r="AI62" s="68"/>
      <c r="AJ62" s="68"/>
      <c r="AK62" s="68"/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</row>
    <row r="63" spans="1:149" ht="12.75" customHeight="1" x14ac:dyDescent="0.25">
      <c r="A63" s="82"/>
      <c r="R63" s="48"/>
      <c r="S63" s="88"/>
      <c r="T63" s="88"/>
      <c r="U63" s="88"/>
      <c r="V63" s="88"/>
      <c r="W63" s="88"/>
      <c r="X63" s="88"/>
      <c r="Y63" s="88"/>
      <c r="Z63" s="88"/>
      <c r="AA63" s="48"/>
      <c r="AB63" s="68"/>
      <c r="AC63" s="68"/>
      <c r="AD63" s="68"/>
      <c r="AE63" s="68"/>
      <c r="AF63" s="68"/>
      <c r="AG63" s="68"/>
      <c r="AH63" s="68"/>
      <c r="AI63" s="68"/>
      <c r="AJ63" s="68"/>
      <c r="AK63" s="68"/>
      <c r="AL63" s="68"/>
      <c r="AM63" s="68"/>
      <c r="AN63" s="68"/>
      <c r="AO63" s="68"/>
      <c r="AP63" s="68"/>
      <c r="AQ63" s="68"/>
      <c r="AR63" s="68"/>
      <c r="AS63" s="68"/>
      <c r="AT63" s="68"/>
      <c r="AU63" s="68"/>
      <c r="AV63" s="68"/>
      <c r="AW63" s="68"/>
      <c r="AX63" s="68"/>
      <c r="AY63" s="68"/>
      <c r="AZ63" s="68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</row>
    <row r="64" spans="1:149" ht="18" customHeight="1" x14ac:dyDescent="0.25">
      <c r="A64" s="82"/>
      <c r="R64" s="48"/>
      <c r="S64" s="48"/>
      <c r="T64" s="48"/>
      <c r="U64" s="48"/>
      <c r="V64" s="48"/>
      <c r="W64" s="48"/>
      <c r="X64" s="48"/>
      <c r="Y64" s="48"/>
      <c r="Z64" s="164"/>
      <c r="AA64" s="48"/>
      <c r="AB64" s="68"/>
      <c r="AC64" s="68"/>
      <c r="AD64" s="68"/>
      <c r="AE64" s="68"/>
      <c r="AF64" s="68"/>
      <c r="AG64" s="68"/>
      <c r="AH64" s="68"/>
      <c r="AI64" s="68"/>
      <c r="AJ64" s="68"/>
      <c r="AK64" s="68"/>
      <c r="AL64" s="68"/>
      <c r="AM64" s="68"/>
      <c r="AN64" s="68"/>
      <c r="AO64" s="68"/>
      <c r="AP64" s="68"/>
      <c r="AQ64" s="68"/>
      <c r="AR64" s="68"/>
      <c r="AS64" s="68"/>
      <c r="AT64" s="68"/>
      <c r="AU64" s="68"/>
      <c r="AV64" s="68"/>
      <c r="AW64" s="68"/>
      <c r="AX64" s="68"/>
      <c r="AY64" s="68"/>
      <c r="AZ64" s="68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</row>
    <row r="65" spans="1:149" ht="12.75" customHeight="1" x14ac:dyDescent="0.25">
      <c r="A65" s="82"/>
      <c r="R65" s="48"/>
      <c r="AA65" s="48"/>
      <c r="AB65" s="68"/>
      <c r="AC65" s="68"/>
      <c r="AD65" s="68"/>
      <c r="AE65" s="68"/>
      <c r="AF65" s="68"/>
      <c r="AG65" s="68"/>
      <c r="AH65" s="68"/>
      <c r="AI65" s="68"/>
      <c r="AJ65" s="68"/>
      <c r="AK65" s="68"/>
      <c r="AL65" s="68"/>
      <c r="AM65" s="68"/>
      <c r="AN65" s="68"/>
      <c r="AO65" s="68"/>
      <c r="AP65" s="68"/>
      <c r="AQ65" s="68"/>
      <c r="AR65" s="68"/>
      <c r="AS65" s="68"/>
      <c r="AT65" s="68"/>
      <c r="AU65" s="68"/>
      <c r="AV65" s="68"/>
      <c r="AW65" s="68"/>
      <c r="AX65" s="68"/>
      <c r="AY65" s="68"/>
      <c r="AZ65" s="68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</row>
    <row r="66" spans="1:149" ht="12.75" customHeight="1" x14ac:dyDescent="0.25">
      <c r="A66" s="82"/>
      <c r="R66" s="48"/>
      <c r="S66" s="48"/>
      <c r="T66" s="48"/>
      <c r="U66" s="48"/>
      <c r="V66" s="48"/>
      <c r="W66" s="48"/>
      <c r="X66" s="48"/>
      <c r="Y66" s="48"/>
      <c r="Z66" s="164"/>
      <c r="AA66" s="48"/>
      <c r="AB66" s="68"/>
      <c r="AC66" s="68"/>
      <c r="AD66" s="68"/>
      <c r="AE66" s="68"/>
      <c r="AF66" s="68"/>
      <c r="AG66" s="68"/>
      <c r="AH66" s="68"/>
      <c r="AI66" s="68"/>
      <c r="AJ66" s="68"/>
      <c r="AK66" s="68"/>
      <c r="AL66" s="68"/>
      <c r="AM66" s="68"/>
      <c r="AN66" s="68"/>
      <c r="AO66" s="68"/>
      <c r="AP66" s="68"/>
      <c r="AQ66" s="68"/>
      <c r="AR66" s="68"/>
      <c r="AS66" s="68"/>
      <c r="AT66" s="68"/>
      <c r="AU66" s="68"/>
      <c r="AV66" s="68"/>
      <c r="AW66" s="68"/>
      <c r="AX66" s="68"/>
      <c r="AY66" s="68"/>
      <c r="AZ66" s="68"/>
      <c r="EC66" s="12"/>
      <c r="ED66" s="12"/>
      <c r="EE66" s="12"/>
      <c r="EF66" s="12"/>
      <c r="EG66" s="12"/>
      <c r="EH66" s="12"/>
      <c r="EI66" s="12"/>
      <c r="EJ66" s="12"/>
      <c r="EK66" s="12"/>
      <c r="EL66" s="12"/>
      <c r="EM66" s="12"/>
      <c r="EN66" s="12"/>
      <c r="EO66" s="12"/>
      <c r="EP66" s="12"/>
      <c r="EQ66" s="12"/>
      <c r="ER66" s="12"/>
      <c r="ES66" s="12"/>
    </row>
    <row r="67" spans="1:149" ht="12.75" customHeight="1" x14ac:dyDescent="0.25">
      <c r="A67" s="82"/>
      <c r="L67" s="88"/>
      <c r="M67" s="88"/>
      <c r="N67" s="88"/>
      <c r="O67" s="88"/>
      <c r="P67" s="88"/>
      <c r="Q67" s="88"/>
      <c r="R67" s="88"/>
      <c r="S67" s="48"/>
      <c r="T67" s="48"/>
      <c r="U67" s="48"/>
      <c r="V67" s="48"/>
      <c r="W67" s="48"/>
      <c r="X67" s="48"/>
      <c r="Y67" s="48"/>
      <c r="Z67" s="164"/>
      <c r="AA67" s="48"/>
      <c r="AB67" s="68"/>
      <c r="AC67" s="68"/>
      <c r="AD67" s="68"/>
      <c r="AE67" s="68"/>
      <c r="AF67" s="68"/>
      <c r="AG67" s="68"/>
      <c r="AH67" s="68"/>
      <c r="AI67" s="68"/>
      <c r="AJ67" s="68"/>
      <c r="AK67" s="68"/>
      <c r="AL67" s="68"/>
      <c r="AM67" s="68"/>
      <c r="AN67" s="68"/>
      <c r="AO67" s="68"/>
      <c r="AP67" s="68"/>
      <c r="AQ67" s="68"/>
      <c r="AR67" s="68"/>
      <c r="AS67" s="68"/>
      <c r="AT67" s="68"/>
      <c r="AU67" s="68"/>
      <c r="AV67" s="68"/>
      <c r="AW67" s="68"/>
      <c r="AX67" s="68"/>
      <c r="AY67" s="68"/>
      <c r="AZ67" s="68"/>
      <c r="EC67" s="12"/>
      <c r="ED67" s="12"/>
      <c r="EE67" s="12"/>
      <c r="EF67" s="12"/>
      <c r="EG67" s="12"/>
      <c r="EH67" s="12"/>
      <c r="EI67" s="12"/>
      <c r="EJ67" s="12"/>
      <c r="EK67" s="12"/>
      <c r="EL67" s="12"/>
      <c r="EM67" s="12"/>
      <c r="EN67" s="12"/>
      <c r="EO67" s="12"/>
      <c r="EP67" s="12"/>
      <c r="EQ67" s="12"/>
      <c r="ER67" s="12"/>
      <c r="ES67" s="12"/>
    </row>
    <row r="68" spans="1:149" ht="12.75" customHeight="1" x14ac:dyDescent="0.25">
      <c r="A68" s="4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  <c r="S68" s="48"/>
      <c r="T68" s="48"/>
      <c r="U68" s="48"/>
      <c r="V68" s="48"/>
      <c r="W68" s="48"/>
      <c r="X68" s="48"/>
      <c r="Y68" s="48"/>
      <c r="Z68" s="164"/>
      <c r="AA68" s="48"/>
      <c r="AB68" s="68"/>
      <c r="AC68" s="68"/>
      <c r="AD68" s="68"/>
      <c r="AE68" s="68"/>
      <c r="AF68" s="68"/>
      <c r="AG68" s="68"/>
      <c r="AH68" s="68"/>
      <c r="AI68" s="68"/>
      <c r="AJ68" s="68"/>
      <c r="AK68" s="68"/>
      <c r="AL68" s="68"/>
      <c r="AM68" s="68"/>
      <c r="AN68" s="68"/>
      <c r="AO68" s="68"/>
      <c r="AP68" s="68"/>
      <c r="AQ68" s="68"/>
      <c r="AR68" s="68"/>
      <c r="AS68" s="68"/>
      <c r="AT68" s="68"/>
      <c r="AU68" s="68"/>
      <c r="AV68" s="68"/>
      <c r="AW68" s="68"/>
      <c r="AX68" s="68"/>
      <c r="AY68" s="68"/>
      <c r="AZ68" s="68"/>
      <c r="EC68" s="12"/>
      <c r="ED68" s="12"/>
      <c r="EE68" s="12"/>
      <c r="EF68" s="12"/>
      <c r="EG68" s="12"/>
      <c r="EH68" s="12"/>
      <c r="EI68" s="12"/>
      <c r="EJ68" s="12"/>
      <c r="EK68" s="12"/>
      <c r="EL68" s="12"/>
      <c r="EM68" s="12"/>
      <c r="EN68" s="12"/>
      <c r="EO68" s="12"/>
      <c r="EP68" s="12"/>
      <c r="EQ68" s="12"/>
      <c r="ER68" s="12"/>
      <c r="ES68" s="12"/>
    </row>
    <row r="69" spans="1:149" ht="12.75" customHeight="1" x14ac:dyDescent="0.25">
      <c r="A69" s="4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  <c r="S69" s="48"/>
      <c r="T69" s="48"/>
      <c r="U69" s="48"/>
      <c r="V69" s="48"/>
      <c r="W69" s="48"/>
      <c r="X69" s="48"/>
      <c r="Y69" s="48"/>
      <c r="Z69" s="164"/>
      <c r="AA69" s="48"/>
      <c r="AB69" s="68"/>
      <c r="AC69" s="68"/>
      <c r="AD69" s="68"/>
      <c r="AE69" s="68"/>
      <c r="AF69" s="68"/>
      <c r="AG69" s="68"/>
      <c r="AH69" s="68"/>
      <c r="AI69" s="68"/>
      <c r="AJ69" s="68"/>
      <c r="AK69" s="68"/>
      <c r="AL69" s="68"/>
      <c r="AM69" s="68"/>
      <c r="AN69" s="68"/>
      <c r="AO69" s="68"/>
      <c r="AP69" s="68"/>
      <c r="AQ69" s="68"/>
      <c r="AR69" s="68"/>
      <c r="AS69" s="68"/>
      <c r="AT69" s="68"/>
      <c r="AU69" s="68"/>
      <c r="AV69" s="68"/>
      <c r="AW69" s="68"/>
      <c r="AX69" s="68"/>
      <c r="AY69" s="68"/>
      <c r="AZ69" s="68"/>
      <c r="EC69" s="12"/>
      <c r="ED69" s="12"/>
      <c r="EE69" s="12"/>
      <c r="EF69" s="12"/>
      <c r="EG69" s="12"/>
      <c r="EH69" s="12"/>
      <c r="EI69" s="12"/>
      <c r="EJ69" s="12"/>
      <c r="EK69" s="12"/>
      <c r="EL69" s="12"/>
      <c r="EM69" s="12"/>
      <c r="EN69" s="12"/>
      <c r="EO69" s="12"/>
      <c r="EP69" s="12"/>
      <c r="EQ69" s="12"/>
      <c r="ER69" s="12"/>
      <c r="ES69" s="12"/>
    </row>
    <row r="70" spans="1:149" ht="12.75" customHeight="1" x14ac:dyDescent="0.25">
      <c r="A70" s="4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  <c r="S70" s="88"/>
      <c r="T70" s="88"/>
      <c r="U70" s="88"/>
      <c r="V70" s="88"/>
      <c r="W70" s="88"/>
      <c r="X70" s="88"/>
      <c r="Y70" s="88"/>
      <c r="Z70" s="164"/>
      <c r="AA70" s="48"/>
      <c r="AB70" s="68"/>
      <c r="AC70" s="68"/>
      <c r="AD70" s="68"/>
      <c r="AE70" s="68"/>
      <c r="AF70" s="68"/>
      <c r="AG70" s="68"/>
      <c r="AH70" s="68"/>
      <c r="AI70" s="68"/>
      <c r="AJ70" s="68"/>
      <c r="AK70" s="68"/>
      <c r="AL70" s="68"/>
      <c r="AM70" s="68"/>
      <c r="AN70" s="68"/>
      <c r="AO70" s="68"/>
      <c r="AP70" s="68"/>
      <c r="AQ70" s="68"/>
      <c r="AR70" s="68"/>
      <c r="AS70" s="68"/>
      <c r="AT70" s="68"/>
      <c r="AU70" s="68"/>
      <c r="AV70" s="68"/>
      <c r="AW70" s="68"/>
      <c r="AX70" s="68"/>
      <c r="AY70" s="68"/>
      <c r="AZ70" s="68"/>
      <c r="EC70" s="12"/>
      <c r="ED70" s="12"/>
      <c r="EE70" s="12"/>
      <c r="EF70" s="12"/>
      <c r="EG70" s="12"/>
      <c r="EH70" s="12"/>
      <c r="EI70" s="12"/>
      <c r="EJ70" s="12"/>
      <c r="EK70" s="12"/>
      <c r="EL70" s="12"/>
      <c r="EM70" s="12"/>
      <c r="EN70" s="12"/>
      <c r="EO70" s="12"/>
      <c r="EP70" s="12"/>
      <c r="EQ70" s="12"/>
      <c r="ER70" s="12"/>
      <c r="ES70" s="12"/>
    </row>
    <row r="71" spans="1:149" ht="12.75" customHeight="1" x14ac:dyDescent="0.25">
      <c r="A71" s="4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  <c r="S71" s="88"/>
      <c r="T71" s="88"/>
      <c r="U71" s="88"/>
      <c r="V71" s="88"/>
      <c r="W71" s="88"/>
      <c r="X71" s="88"/>
      <c r="Y71" s="88"/>
      <c r="Z71" s="164"/>
      <c r="AA71" s="48"/>
      <c r="AB71" s="68"/>
      <c r="AC71" s="68"/>
      <c r="AD71" s="68"/>
      <c r="AE71" s="68"/>
      <c r="AF71" s="68"/>
      <c r="AG71" s="68"/>
      <c r="AH71" s="68"/>
      <c r="AI71" s="68"/>
      <c r="AJ71" s="68"/>
      <c r="AK71" s="68"/>
      <c r="AL71" s="68"/>
      <c r="AM71" s="68"/>
      <c r="AN71" s="68"/>
      <c r="AO71" s="68"/>
      <c r="AP71" s="68"/>
      <c r="AQ71" s="68"/>
      <c r="AR71" s="68"/>
      <c r="AS71" s="68"/>
      <c r="AT71" s="68"/>
      <c r="AU71" s="68"/>
      <c r="AV71" s="68"/>
      <c r="AW71" s="68"/>
      <c r="AX71" s="68"/>
      <c r="AY71" s="68"/>
      <c r="AZ71" s="68"/>
      <c r="EC71" s="12"/>
      <c r="ED71" s="12"/>
      <c r="EE71" s="12"/>
      <c r="EF71" s="12"/>
      <c r="EG71" s="12"/>
      <c r="EH71" s="12"/>
      <c r="EI71" s="12"/>
      <c r="EJ71" s="12"/>
      <c r="EK71" s="12"/>
      <c r="EL71" s="12"/>
      <c r="EM71" s="12"/>
      <c r="EN71" s="12"/>
      <c r="EO71" s="12"/>
      <c r="EP71" s="12"/>
      <c r="EQ71" s="12"/>
      <c r="ER71" s="12"/>
      <c r="ES71" s="12"/>
    </row>
    <row r="72" spans="1:149" ht="9.9" customHeight="1" x14ac:dyDescent="0.25">
      <c r="A72" s="4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  <c r="S72" s="88"/>
      <c r="T72" s="88"/>
      <c r="U72" s="88"/>
      <c r="V72" s="88"/>
      <c r="W72" s="88"/>
      <c r="X72" s="88"/>
      <c r="Y72" s="88"/>
      <c r="Z72" s="164"/>
      <c r="AA72" s="4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EC72" s="12"/>
      <c r="ED72" s="12"/>
      <c r="EE72" s="12"/>
      <c r="EF72" s="12"/>
      <c r="EG72" s="12"/>
      <c r="EH72" s="12"/>
      <c r="EI72" s="12"/>
      <c r="EJ72" s="12"/>
      <c r="EK72" s="12"/>
      <c r="EL72" s="12"/>
      <c r="EM72" s="12"/>
      <c r="EN72" s="12"/>
      <c r="EO72" s="12"/>
      <c r="EP72" s="12"/>
      <c r="EQ72" s="12"/>
      <c r="ER72" s="12"/>
      <c r="ES72" s="12"/>
    </row>
    <row r="73" spans="1:149" ht="12.75" customHeight="1" x14ac:dyDescent="0.25">
      <c r="A73" s="4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  <c r="S73" s="88"/>
      <c r="T73" s="88"/>
      <c r="U73" s="88"/>
      <c r="V73" s="88"/>
      <c r="W73" s="88"/>
      <c r="X73" s="88"/>
      <c r="Y73" s="88"/>
      <c r="Z73" s="164"/>
      <c r="AA73" s="4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EC73" s="12"/>
      <c r="ED73" s="12"/>
      <c r="EE73" s="12"/>
      <c r="EF73" s="12"/>
      <c r="EG73" s="12"/>
      <c r="EH73" s="12"/>
      <c r="EI73" s="12"/>
      <c r="EJ73" s="12"/>
      <c r="EK73" s="12"/>
      <c r="EL73" s="12"/>
      <c r="EM73" s="12"/>
      <c r="EN73" s="12"/>
      <c r="EO73" s="12"/>
      <c r="EP73" s="12"/>
      <c r="EQ73" s="12"/>
      <c r="ER73" s="12"/>
      <c r="ES73" s="12"/>
    </row>
    <row r="74" spans="1:149" ht="12" customHeight="1" x14ac:dyDescent="0.25">
      <c r="A74" s="48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164"/>
      <c r="AA74" s="4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EC74" s="12"/>
      <c r="ED74" s="12"/>
      <c r="EE74" s="12"/>
      <c r="EF74" s="12"/>
      <c r="EG74" s="12"/>
      <c r="EH74" s="12"/>
      <c r="EI74" s="12"/>
      <c r="EJ74" s="12"/>
      <c r="EK74" s="12"/>
      <c r="EL74" s="12"/>
      <c r="EM74" s="12"/>
      <c r="EN74" s="12"/>
      <c r="EO74" s="12"/>
      <c r="EP74" s="12"/>
      <c r="EQ74" s="12"/>
      <c r="ER74" s="12"/>
      <c r="ES74" s="12"/>
    </row>
    <row r="75" spans="1:149" ht="12" customHeight="1" x14ac:dyDescent="0.25">
      <c r="A75" s="48"/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88"/>
      <c r="N75" s="88"/>
      <c r="O75" s="88"/>
      <c r="P75" s="88"/>
      <c r="Q75" s="88"/>
      <c r="R75" s="88"/>
      <c r="S75" s="88"/>
      <c r="T75" s="88"/>
      <c r="U75" s="88"/>
      <c r="V75" s="88"/>
      <c r="W75" s="88"/>
      <c r="X75" s="88"/>
      <c r="Y75" s="88"/>
      <c r="Z75" s="164"/>
      <c r="AA75" s="48"/>
      <c r="AB75" s="68"/>
      <c r="AC75" s="68"/>
      <c r="AD75" s="68"/>
      <c r="AE75" s="68"/>
      <c r="AF75" s="68"/>
      <c r="AG75" s="68"/>
      <c r="AH75" s="68"/>
      <c r="AI75" s="68"/>
      <c r="AJ75" s="68"/>
      <c r="AK75" s="68"/>
      <c r="AL75" s="68"/>
      <c r="AM75" s="68"/>
      <c r="AN75" s="68"/>
      <c r="AO75" s="68"/>
      <c r="AP75" s="68"/>
      <c r="AQ75" s="68"/>
      <c r="AR75" s="68"/>
      <c r="AS75" s="68"/>
      <c r="AT75" s="68"/>
      <c r="AU75" s="68"/>
      <c r="AV75" s="68"/>
      <c r="AW75" s="68"/>
      <c r="AX75" s="68"/>
      <c r="AY75" s="68"/>
      <c r="AZ75" s="68"/>
      <c r="EC75" s="12"/>
      <c r="ED75" s="12"/>
      <c r="EE75" s="12"/>
      <c r="EF75" s="12"/>
      <c r="EG75" s="12"/>
      <c r="EH75" s="12"/>
      <c r="EI75" s="12"/>
      <c r="EJ75" s="12"/>
      <c r="EK75" s="12"/>
      <c r="EL75" s="12"/>
      <c r="EM75" s="12"/>
      <c r="EN75" s="12"/>
      <c r="EO75" s="12"/>
      <c r="EP75" s="12"/>
      <c r="EQ75" s="12"/>
      <c r="ER75" s="12"/>
      <c r="ES75" s="12"/>
    </row>
    <row r="76" spans="1:149" ht="12" customHeight="1" x14ac:dyDescent="0.25">
      <c r="A76" s="48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88"/>
      <c r="N76" s="88"/>
      <c r="O76" s="88"/>
      <c r="P76" s="88"/>
      <c r="Q76" s="88"/>
      <c r="R76" s="88"/>
      <c r="S76" s="88"/>
      <c r="T76" s="88"/>
      <c r="U76" s="88"/>
      <c r="V76" s="88"/>
      <c r="W76" s="88"/>
      <c r="X76" s="88"/>
      <c r="Y76" s="88"/>
      <c r="Z76" s="164"/>
      <c r="AA76" s="48"/>
      <c r="AB76" s="68"/>
      <c r="AC76" s="68"/>
      <c r="AD76" s="68"/>
      <c r="AE76" s="68"/>
      <c r="AF76" s="68"/>
      <c r="AG76" s="68"/>
      <c r="AH76" s="68"/>
      <c r="AI76" s="68"/>
      <c r="AJ76" s="68"/>
      <c r="AK76" s="68"/>
      <c r="AL76" s="68"/>
      <c r="AM76" s="68"/>
      <c r="AN76" s="68"/>
      <c r="AO76" s="68"/>
      <c r="AP76" s="68"/>
      <c r="AQ76" s="68"/>
      <c r="AR76" s="68"/>
      <c r="AS76" s="68"/>
      <c r="AT76" s="68"/>
      <c r="AU76" s="68"/>
      <c r="AV76" s="68"/>
      <c r="AW76" s="68"/>
      <c r="AX76" s="68"/>
      <c r="AY76" s="68"/>
      <c r="AZ76" s="68"/>
      <c r="EC76" s="12"/>
      <c r="ED76" s="12"/>
      <c r="EE76" s="12"/>
      <c r="EF76" s="12"/>
      <c r="EG76" s="12"/>
      <c r="EH76" s="12"/>
      <c r="EI76" s="12"/>
      <c r="EJ76" s="12"/>
      <c r="EK76" s="12"/>
      <c r="EL76" s="12"/>
      <c r="EM76" s="12"/>
      <c r="EN76" s="12"/>
      <c r="EO76" s="12"/>
      <c r="EP76" s="12"/>
      <c r="EQ76" s="12"/>
      <c r="ER76" s="12"/>
      <c r="ES76" s="12"/>
    </row>
    <row r="77" spans="1:149" ht="12" customHeight="1" x14ac:dyDescent="0.25">
      <c r="A77" s="48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88"/>
      <c r="N77" s="88"/>
      <c r="O77" s="88"/>
      <c r="P77" s="88"/>
      <c r="Q77" s="88"/>
      <c r="R77" s="88"/>
      <c r="S77" s="88"/>
      <c r="T77" s="88"/>
      <c r="U77" s="88"/>
      <c r="V77" s="88"/>
      <c r="W77" s="88"/>
      <c r="X77" s="88"/>
      <c r="Y77" s="88"/>
      <c r="Z77" s="164"/>
      <c r="AA77" s="48"/>
      <c r="AB77" s="68"/>
      <c r="AC77" s="68"/>
      <c r="AD77" s="68"/>
      <c r="AE77" s="68"/>
      <c r="AF77" s="68"/>
      <c r="AG77" s="68"/>
      <c r="AH77" s="68"/>
      <c r="AI77" s="68"/>
      <c r="AJ77" s="68"/>
      <c r="AK77" s="68"/>
      <c r="AL77" s="68"/>
      <c r="AM77" s="68"/>
      <c r="AN77" s="68"/>
      <c r="AO77" s="68"/>
      <c r="AP77" s="68"/>
      <c r="AQ77" s="68"/>
      <c r="AR77" s="68"/>
      <c r="AS77" s="68"/>
      <c r="AT77" s="68"/>
      <c r="AU77" s="68"/>
      <c r="AV77" s="68"/>
      <c r="AW77" s="68"/>
      <c r="AX77" s="68"/>
      <c r="AY77" s="68"/>
      <c r="AZ77" s="68"/>
      <c r="EC77" s="12"/>
      <c r="ED77" s="12"/>
      <c r="EE77" s="12"/>
      <c r="EF77" s="12"/>
      <c r="EG77" s="12"/>
      <c r="EH77" s="12"/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</row>
    <row r="78" spans="1:149" ht="12" customHeight="1" x14ac:dyDescent="0.25">
      <c r="A78" s="48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88"/>
      <c r="N78" s="88"/>
      <c r="O78" s="88"/>
      <c r="P78" s="88"/>
      <c r="Q78" s="88"/>
      <c r="R78" s="88"/>
      <c r="S78" s="12"/>
      <c r="T78" s="12"/>
      <c r="U78" s="12"/>
      <c r="V78" s="12"/>
      <c r="W78" s="12"/>
      <c r="X78" s="12"/>
      <c r="Y78" s="12"/>
      <c r="Z78" s="25"/>
      <c r="AA78" s="48"/>
      <c r="AB78" s="68"/>
      <c r="AC78" s="68"/>
      <c r="AD78" s="68"/>
      <c r="AE78" s="68"/>
      <c r="AF78" s="68"/>
      <c r="AG78" s="68"/>
      <c r="AH78" s="68"/>
      <c r="AI78" s="68"/>
      <c r="AJ78" s="68"/>
      <c r="AK78" s="68"/>
      <c r="AL78" s="68"/>
      <c r="AM78" s="68"/>
      <c r="AN78" s="68"/>
      <c r="AO78" s="68"/>
      <c r="AP78" s="68"/>
      <c r="AQ78" s="68"/>
      <c r="AR78" s="68"/>
      <c r="AS78" s="68"/>
      <c r="AT78" s="68"/>
      <c r="AU78" s="68"/>
      <c r="AV78" s="68"/>
      <c r="AW78" s="68"/>
      <c r="AX78" s="68"/>
      <c r="AY78" s="68"/>
      <c r="AZ78" s="68"/>
      <c r="EC78" s="12"/>
      <c r="ED78" s="12"/>
      <c r="EE78" s="12"/>
      <c r="EF78" s="12"/>
      <c r="EG78" s="12"/>
      <c r="EH78" s="12"/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</row>
    <row r="79" spans="1:149" ht="12" customHeight="1" x14ac:dyDescent="0.25">
      <c r="A79" s="48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88"/>
      <c r="N79" s="88"/>
      <c r="O79" s="88"/>
      <c r="P79" s="88"/>
      <c r="Q79" s="88"/>
      <c r="R79" s="88"/>
      <c r="S79" s="12"/>
      <c r="T79" s="12"/>
      <c r="U79" s="12"/>
      <c r="V79" s="12"/>
      <c r="W79" s="12"/>
      <c r="X79" s="12"/>
      <c r="Y79" s="12"/>
      <c r="Z79" s="25"/>
      <c r="AA79" s="88"/>
      <c r="AB79" s="68"/>
      <c r="AC79" s="68"/>
      <c r="AD79" s="68"/>
      <c r="AE79" s="68"/>
      <c r="AF79" s="68"/>
      <c r="AG79" s="68"/>
      <c r="AH79" s="68"/>
      <c r="AI79" s="68"/>
      <c r="AJ79" s="68"/>
      <c r="AK79" s="68"/>
      <c r="AL79" s="68"/>
      <c r="AM79" s="68"/>
      <c r="AN79" s="68"/>
      <c r="AO79" s="68"/>
      <c r="AP79" s="68"/>
      <c r="AQ79" s="68"/>
      <c r="AR79" s="68"/>
      <c r="AS79" s="68"/>
      <c r="AT79" s="68"/>
      <c r="AU79" s="68"/>
      <c r="AV79" s="68"/>
      <c r="AW79" s="68"/>
      <c r="AX79" s="68"/>
      <c r="AY79" s="68"/>
      <c r="AZ79" s="68"/>
      <c r="EC79" s="12"/>
      <c r="ED79" s="12"/>
      <c r="EE79" s="12"/>
      <c r="EF79" s="12"/>
      <c r="EG79" s="12"/>
      <c r="EH79" s="12"/>
      <c r="EI79" s="12"/>
      <c r="EJ79" s="12"/>
      <c r="EK79" s="12"/>
      <c r="EL79" s="12"/>
      <c r="EM79" s="12"/>
      <c r="EN79" s="12"/>
      <c r="EO79" s="12"/>
      <c r="EP79" s="12"/>
      <c r="EQ79" s="12"/>
      <c r="ER79" s="12"/>
      <c r="ES79" s="12"/>
    </row>
    <row r="80" spans="1:149" ht="12" customHeight="1" x14ac:dyDescent="0.25">
      <c r="A80" s="48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88"/>
      <c r="N80" s="88"/>
      <c r="O80" s="88"/>
      <c r="P80" s="88"/>
      <c r="Q80" s="88"/>
      <c r="R80" s="88"/>
      <c r="S80" s="12"/>
      <c r="T80" s="12"/>
      <c r="U80" s="12"/>
      <c r="V80" s="12"/>
      <c r="W80" s="12"/>
      <c r="X80" s="12"/>
      <c r="Y80" s="12"/>
      <c r="Z80" s="25"/>
      <c r="AA80" s="8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EC80" s="12"/>
      <c r="ED80" s="12"/>
      <c r="EE80" s="12"/>
      <c r="EF80" s="12"/>
      <c r="EG80" s="12"/>
      <c r="EH80" s="12"/>
      <c r="EI80" s="12"/>
      <c r="EJ80" s="12"/>
      <c r="EK80" s="12"/>
      <c r="EL80" s="12"/>
      <c r="EM80" s="12"/>
      <c r="EN80" s="12"/>
      <c r="EO80" s="12"/>
      <c r="EP80" s="12"/>
      <c r="EQ80" s="12"/>
      <c r="ER80" s="12"/>
      <c r="ES80" s="12"/>
    </row>
    <row r="81" spans="1:149" ht="12" customHeight="1" x14ac:dyDescent="0.25">
      <c r="A81" s="48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88"/>
      <c r="N81" s="88"/>
      <c r="O81" s="88"/>
      <c r="P81" s="88"/>
      <c r="Q81" s="88"/>
      <c r="R81" s="88"/>
      <c r="S81" s="12"/>
      <c r="T81" s="12"/>
      <c r="U81" s="12"/>
      <c r="V81" s="12"/>
      <c r="W81" s="12"/>
      <c r="X81" s="12"/>
      <c r="Y81" s="12"/>
      <c r="Z81" s="25"/>
      <c r="AA81" s="8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EC81" s="12"/>
      <c r="ED81" s="12"/>
      <c r="EE81" s="12"/>
      <c r="EF81" s="12"/>
      <c r="EG81" s="12"/>
      <c r="EH81" s="12"/>
      <c r="EI81" s="12"/>
      <c r="EJ81" s="12"/>
      <c r="EK81" s="12"/>
      <c r="EL81" s="12"/>
      <c r="EM81" s="12"/>
      <c r="EN81" s="12"/>
      <c r="EO81" s="12"/>
      <c r="EP81" s="12"/>
      <c r="EQ81" s="12"/>
      <c r="ER81" s="12"/>
      <c r="ES81" s="12"/>
    </row>
    <row r="82" spans="1:149" ht="12" customHeight="1" x14ac:dyDescent="0.25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25"/>
      <c r="AA82" s="12"/>
      <c r="AB82" s="68"/>
      <c r="AC82" s="68"/>
      <c r="AD82" s="68"/>
      <c r="AE82" s="68"/>
      <c r="AF82" s="68"/>
      <c r="AG82" s="68"/>
      <c r="AH82" s="68"/>
      <c r="AI82" s="68"/>
      <c r="AJ82" s="68"/>
      <c r="AK82" s="68"/>
      <c r="AL82" s="68"/>
      <c r="AM82" s="68"/>
      <c r="AN82" s="68"/>
      <c r="AO82" s="68"/>
      <c r="AP82" s="68"/>
      <c r="AQ82" s="68"/>
      <c r="AR82" s="68"/>
      <c r="AS82" s="68"/>
      <c r="AT82" s="68"/>
      <c r="AU82" s="68"/>
      <c r="AV82" s="68"/>
      <c r="AW82" s="68"/>
      <c r="AX82" s="68"/>
      <c r="AY82" s="68"/>
      <c r="AZ82" s="68"/>
      <c r="EC82" s="12"/>
      <c r="ED82" s="12"/>
      <c r="EE82" s="12"/>
      <c r="EF82" s="12"/>
      <c r="EG82" s="12"/>
      <c r="EH82" s="12"/>
      <c r="EI82" s="12"/>
      <c r="EJ82" s="12"/>
      <c r="EK82" s="12"/>
      <c r="EL82" s="12"/>
      <c r="EM82" s="12"/>
      <c r="EN82" s="12"/>
      <c r="EO82" s="12"/>
      <c r="EP82" s="12"/>
      <c r="EQ82" s="12"/>
      <c r="ER82" s="12"/>
      <c r="ES82" s="12"/>
    </row>
    <row r="83" spans="1:149" x14ac:dyDescent="0.25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25"/>
      <c r="AA83" s="12"/>
      <c r="AB83" s="68"/>
      <c r="AC83" s="68"/>
      <c r="AD83" s="68"/>
      <c r="AE83" s="68"/>
      <c r="AF83" s="68"/>
      <c r="AG83" s="68"/>
      <c r="AH83" s="68"/>
      <c r="AI83" s="68"/>
      <c r="AJ83" s="68"/>
      <c r="AK83" s="68"/>
      <c r="AL83" s="68"/>
      <c r="AM83" s="68"/>
      <c r="AN83" s="68"/>
      <c r="AO83" s="68"/>
      <c r="AP83" s="68"/>
      <c r="AQ83" s="68"/>
      <c r="AR83" s="68"/>
      <c r="AS83" s="68"/>
      <c r="AT83" s="68"/>
      <c r="AU83" s="68"/>
      <c r="AV83" s="68"/>
      <c r="AW83" s="68"/>
      <c r="AX83" s="68"/>
      <c r="AY83" s="68"/>
      <c r="AZ83" s="68"/>
      <c r="EC83" s="12"/>
      <c r="ED83" s="12"/>
      <c r="EE83" s="12"/>
      <c r="EF83" s="12"/>
      <c r="EG83" s="12"/>
      <c r="EH83" s="12"/>
      <c r="EI83" s="12"/>
      <c r="EJ83" s="12"/>
      <c r="EK83" s="12"/>
      <c r="EL83" s="12"/>
      <c r="EM83" s="12"/>
      <c r="EN83" s="12"/>
      <c r="EO83" s="12"/>
      <c r="EP83" s="12"/>
      <c r="EQ83" s="12"/>
      <c r="ER83" s="12"/>
      <c r="ES83" s="12"/>
    </row>
    <row r="84" spans="1:149" x14ac:dyDescent="0.25">
      <c r="A84" s="12"/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25"/>
      <c r="AA84" s="12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0"/>
      <c r="AP84" s="10"/>
      <c r="AQ84" s="10"/>
      <c r="AR84" s="10"/>
      <c r="AS84" s="10"/>
      <c r="AT84" s="10"/>
      <c r="AU84" s="10"/>
      <c r="AV84" s="10"/>
      <c r="AW84" s="10"/>
      <c r="AX84" s="10"/>
      <c r="AY84" s="10"/>
      <c r="AZ84" s="10"/>
      <c r="EC84" s="12"/>
      <c r="ED84" s="12"/>
      <c r="EE84" s="12"/>
      <c r="EF84" s="12"/>
      <c r="EG84" s="12"/>
      <c r="EH84" s="12"/>
      <c r="EI84" s="12"/>
      <c r="EJ84" s="12"/>
      <c r="EK84" s="12"/>
      <c r="EL84" s="12"/>
      <c r="EM84" s="12"/>
      <c r="EN84" s="12"/>
      <c r="EO84" s="12"/>
      <c r="EP84" s="12"/>
      <c r="EQ84" s="12"/>
      <c r="ER84" s="12"/>
      <c r="ES84" s="12"/>
    </row>
    <row r="85" spans="1:149" x14ac:dyDescent="0.25">
      <c r="A85" s="12"/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25"/>
      <c r="AA85" s="12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0"/>
      <c r="AP85" s="10"/>
      <c r="AQ85" s="10"/>
      <c r="AR85" s="10"/>
      <c r="AS85" s="10"/>
      <c r="AT85" s="10"/>
      <c r="AU85" s="10"/>
      <c r="AV85" s="10"/>
      <c r="AW85" s="10"/>
      <c r="AX85" s="10"/>
      <c r="AY85" s="10"/>
      <c r="AZ85" s="10"/>
      <c r="EC85" s="12"/>
      <c r="ED85" s="12"/>
      <c r="EE85" s="12"/>
      <c r="EF85" s="12"/>
      <c r="EG85" s="12"/>
      <c r="EH85" s="12"/>
      <c r="EI85" s="12"/>
      <c r="EJ85" s="12"/>
      <c r="EK85" s="12"/>
      <c r="EL85" s="12"/>
      <c r="EM85" s="12"/>
      <c r="EN85" s="12"/>
      <c r="EO85" s="12"/>
      <c r="EP85" s="12"/>
      <c r="EQ85" s="12"/>
      <c r="ER85" s="12"/>
      <c r="ES85" s="12"/>
    </row>
    <row r="86" spans="1:149" x14ac:dyDescent="0.25">
      <c r="A86" s="12"/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25"/>
      <c r="AA86" s="12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0"/>
      <c r="AP86" s="10"/>
      <c r="AQ86" s="10"/>
      <c r="AR86" s="10"/>
      <c r="AS86" s="10"/>
      <c r="AT86" s="10"/>
      <c r="AU86" s="10"/>
      <c r="AV86" s="10"/>
      <c r="AW86" s="10"/>
      <c r="AX86" s="10"/>
      <c r="AY86" s="10"/>
      <c r="AZ86" s="10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12"/>
      <c r="EP86" s="12"/>
      <c r="EQ86" s="12"/>
      <c r="ER86" s="12"/>
      <c r="ES86" s="12"/>
    </row>
    <row r="87" spans="1:149" x14ac:dyDescent="0.25">
      <c r="A87" s="12"/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25"/>
      <c r="AA87" s="12"/>
      <c r="AB87" s="10"/>
      <c r="AC87" s="10"/>
      <c r="AD87" s="10"/>
      <c r="AE87" s="10"/>
      <c r="AF87" s="10"/>
      <c r="AG87" s="10"/>
      <c r="AH87" s="10"/>
      <c r="AI87" s="10"/>
      <c r="AJ87" s="10"/>
      <c r="AK87" s="10"/>
      <c r="AL87" s="10"/>
      <c r="AM87" s="10"/>
      <c r="AN87" s="10"/>
      <c r="AO87" s="10"/>
      <c r="AP87" s="10"/>
      <c r="AQ87" s="10"/>
      <c r="AR87" s="10"/>
      <c r="AS87" s="10"/>
      <c r="AT87" s="10"/>
      <c r="AU87" s="10"/>
      <c r="AV87" s="10"/>
      <c r="AW87" s="10"/>
      <c r="AX87" s="10"/>
      <c r="AY87" s="10"/>
      <c r="AZ87" s="10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12"/>
      <c r="EP87" s="12"/>
      <c r="EQ87" s="12"/>
      <c r="ER87" s="12"/>
      <c r="ES87" s="12"/>
    </row>
    <row r="88" spans="1:149" x14ac:dyDescent="0.25">
      <c r="A88" s="12"/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25"/>
      <c r="AA88" s="12"/>
      <c r="AB88" s="10"/>
      <c r="AC88" s="10"/>
      <c r="AD88" s="10"/>
      <c r="AE88" s="10"/>
      <c r="AF88" s="10"/>
      <c r="AG88" s="10"/>
      <c r="AH88" s="10"/>
      <c r="AI88" s="10"/>
      <c r="AJ88" s="10"/>
      <c r="AK88" s="10"/>
      <c r="AL88" s="10"/>
      <c r="AM88" s="10"/>
      <c r="AN88" s="10"/>
      <c r="AO88" s="10"/>
      <c r="AP88" s="10"/>
      <c r="AQ88" s="10"/>
      <c r="AR88" s="10"/>
      <c r="AS88" s="10"/>
      <c r="AT88" s="10"/>
      <c r="AU88" s="10"/>
      <c r="AV88" s="10"/>
      <c r="AW88" s="10"/>
      <c r="AX88" s="10"/>
      <c r="AY88" s="10"/>
      <c r="AZ88" s="10"/>
      <c r="EC88" s="12"/>
      <c r="ED88" s="12"/>
      <c r="EE88" s="12"/>
      <c r="EF88" s="12"/>
      <c r="EG88" s="12"/>
      <c r="EH88" s="12"/>
      <c r="EI88" s="12"/>
      <c r="EJ88" s="12"/>
      <c r="EK88" s="12"/>
      <c r="EL88" s="12"/>
      <c r="EM88" s="12"/>
      <c r="EN88" s="12"/>
      <c r="EO88" s="12"/>
      <c r="EP88" s="12"/>
      <c r="EQ88" s="12"/>
      <c r="ER88" s="12"/>
      <c r="ES88" s="12"/>
    </row>
    <row r="89" spans="1:149" s="12" customFormat="1" x14ac:dyDescent="0.25">
      <c r="Z89" s="25"/>
      <c r="AB89" s="10"/>
      <c r="AC89" s="10"/>
      <c r="AD89" s="10"/>
      <c r="AE89" s="10"/>
      <c r="AF89" s="10"/>
      <c r="AG89" s="10"/>
      <c r="AH89" s="10"/>
      <c r="AI89" s="10"/>
      <c r="AJ89" s="10"/>
      <c r="AK89" s="10"/>
      <c r="AL89" s="10"/>
      <c r="AM89" s="10"/>
      <c r="AN89" s="10"/>
      <c r="AO89" s="10"/>
      <c r="AP89" s="10"/>
      <c r="AQ89" s="10"/>
      <c r="AR89" s="10"/>
      <c r="AS89" s="10"/>
      <c r="AT89" s="10"/>
      <c r="AU89" s="10"/>
      <c r="AV89" s="10"/>
      <c r="AW89" s="10"/>
      <c r="AX89" s="10"/>
      <c r="AY89" s="10"/>
      <c r="AZ89" s="10"/>
    </row>
    <row r="90" spans="1:149" s="12" customFormat="1" x14ac:dyDescent="0.25">
      <c r="Z90" s="25"/>
      <c r="AB90" s="10"/>
      <c r="AC90" s="10"/>
      <c r="AD90" s="10"/>
      <c r="AE90" s="10"/>
      <c r="AF90" s="10"/>
      <c r="AG90" s="10"/>
      <c r="AH90" s="10"/>
      <c r="AI90" s="10"/>
      <c r="AJ90" s="10"/>
      <c r="AK90" s="10"/>
      <c r="AL90" s="10"/>
      <c r="AM90" s="10"/>
      <c r="AN90" s="10"/>
      <c r="AO90" s="10"/>
      <c r="AP90" s="10"/>
      <c r="AQ90" s="10"/>
      <c r="AR90" s="10"/>
      <c r="AS90" s="10"/>
      <c r="AT90" s="10"/>
      <c r="AU90" s="10"/>
      <c r="AV90" s="10"/>
      <c r="AW90" s="10"/>
      <c r="AX90" s="10"/>
      <c r="AY90" s="10"/>
      <c r="AZ90" s="10"/>
    </row>
    <row r="91" spans="1:149" s="12" customFormat="1" x14ac:dyDescent="0.25">
      <c r="Z91" s="25"/>
      <c r="AB91" s="10"/>
      <c r="AC91" s="10"/>
      <c r="AD91" s="10"/>
      <c r="AE91" s="10"/>
      <c r="AF91" s="10"/>
      <c r="AG91" s="10"/>
      <c r="AH91" s="10"/>
      <c r="AI91" s="10"/>
      <c r="AJ91" s="10"/>
      <c r="AK91" s="10"/>
      <c r="AL91" s="10"/>
      <c r="AM91" s="10"/>
      <c r="AN91" s="10"/>
      <c r="AO91" s="10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</row>
    <row r="92" spans="1:149" s="12" customFormat="1" x14ac:dyDescent="0.25">
      <c r="Z92" s="25"/>
      <c r="AB92" s="10"/>
      <c r="AC92" s="10"/>
      <c r="AD92" s="10"/>
      <c r="AE92" s="10"/>
      <c r="AF92" s="10"/>
      <c r="AG92" s="10"/>
      <c r="AH92" s="10"/>
      <c r="AI92" s="10"/>
      <c r="AJ92" s="10"/>
      <c r="AK92" s="10"/>
      <c r="AL92" s="10"/>
      <c r="AM92" s="10"/>
      <c r="AN92" s="10"/>
      <c r="AO92" s="10"/>
      <c r="AP92" s="10"/>
      <c r="AQ92" s="10"/>
      <c r="AR92" s="10"/>
      <c r="AS92" s="10"/>
      <c r="AT92" s="10"/>
      <c r="AU92" s="10"/>
      <c r="AV92" s="10"/>
      <c r="AW92" s="10"/>
      <c r="AX92" s="10"/>
      <c r="AY92" s="10"/>
      <c r="AZ92" s="10"/>
    </row>
    <row r="93" spans="1:149" s="12" customFormat="1" x14ac:dyDescent="0.25">
      <c r="AB93" s="10"/>
      <c r="AC93" s="10"/>
      <c r="AD93" s="10"/>
      <c r="AE93" s="10"/>
      <c r="AF93" s="10"/>
      <c r="AG93" s="10"/>
      <c r="AH93" s="10"/>
      <c r="AI93" s="10"/>
      <c r="AJ93" s="10"/>
      <c r="AK93" s="10"/>
      <c r="AL93" s="10"/>
      <c r="AM93" s="10"/>
      <c r="AN93" s="10"/>
      <c r="AO93" s="10"/>
      <c r="AP93" s="10"/>
      <c r="AQ93" s="10"/>
      <c r="AR93" s="10"/>
      <c r="AS93" s="10"/>
      <c r="AT93" s="10"/>
      <c r="AU93" s="10"/>
      <c r="AV93" s="10"/>
      <c r="AW93" s="10"/>
      <c r="AX93" s="10"/>
      <c r="AY93" s="10"/>
      <c r="AZ93" s="10"/>
    </row>
    <row r="94" spans="1:149" s="12" customFormat="1" x14ac:dyDescent="0.25">
      <c r="AB94" s="10"/>
      <c r="AC94" s="10"/>
      <c r="AD94" s="10"/>
      <c r="AE94" s="10"/>
      <c r="AF94" s="10"/>
      <c r="AG94" s="10"/>
      <c r="AH94" s="10"/>
      <c r="AI94" s="10"/>
      <c r="AJ94" s="10"/>
      <c r="AK94" s="10"/>
      <c r="AL94" s="10"/>
      <c r="AM94" s="10"/>
      <c r="AN94" s="10"/>
      <c r="AO94" s="10"/>
      <c r="AP94" s="10"/>
      <c r="AQ94" s="10"/>
      <c r="AR94" s="10"/>
      <c r="AS94" s="10"/>
      <c r="AT94" s="10"/>
      <c r="AU94" s="10"/>
      <c r="AV94" s="10"/>
      <c r="AW94" s="10"/>
      <c r="AX94" s="10"/>
      <c r="AY94" s="10"/>
      <c r="AZ94" s="10"/>
    </row>
    <row r="95" spans="1:149" s="12" customFormat="1" x14ac:dyDescent="0.25"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</row>
    <row r="96" spans="1:149" s="12" customFormat="1" x14ac:dyDescent="0.25">
      <c r="AB96" s="10"/>
      <c r="AC96" s="10"/>
      <c r="AD96" s="10"/>
      <c r="AE96" s="10"/>
      <c r="AF96" s="10"/>
      <c r="AG96" s="10"/>
      <c r="AH96" s="10"/>
      <c r="AI96" s="10"/>
      <c r="AJ96" s="10"/>
      <c r="AK96" s="10"/>
      <c r="AL96" s="10"/>
      <c r="AM96" s="10"/>
      <c r="AN96" s="10"/>
      <c r="AO96" s="10"/>
      <c r="AP96" s="10"/>
      <c r="AQ96" s="10"/>
      <c r="AR96" s="10"/>
      <c r="AS96" s="10"/>
      <c r="AT96" s="10"/>
      <c r="AU96" s="10"/>
      <c r="AV96" s="10"/>
      <c r="AW96" s="10"/>
      <c r="AX96" s="10"/>
      <c r="AY96" s="10"/>
      <c r="AZ96" s="10"/>
    </row>
    <row r="97" spans="27:52" s="12" customFormat="1" x14ac:dyDescent="0.25"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0"/>
      <c r="AP97" s="10"/>
      <c r="AQ97" s="10"/>
      <c r="AR97" s="10"/>
      <c r="AS97" s="10"/>
      <c r="AT97" s="10"/>
      <c r="AU97" s="10"/>
      <c r="AV97" s="10"/>
      <c r="AW97" s="10"/>
      <c r="AX97" s="10"/>
      <c r="AY97" s="10"/>
      <c r="AZ97" s="10"/>
    </row>
    <row r="98" spans="27:52" s="12" customFormat="1" x14ac:dyDescent="0.25"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0"/>
      <c r="AP98" s="10"/>
      <c r="AQ98" s="10"/>
      <c r="AR98" s="10"/>
      <c r="AS98" s="10"/>
      <c r="AT98" s="10"/>
      <c r="AU98" s="10"/>
      <c r="AV98" s="10"/>
      <c r="AW98" s="10"/>
      <c r="AX98" s="10"/>
      <c r="AY98" s="10"/>
      <c r="AZ98" s="10"/>
    </row>
    <row r="99" spans="27:52" s="12" customFormat="1" x14ac:dyDescent="0.25"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0"/>
      <c r="AP99" s="10"/>
      <c r="AQ99" s="10"/>
      <c r="AR99" s="10"/>
      <c r="AS99" s="10"/>
      <c r="AT99" s="10"/>
      <c r="AU99" s="10"/>
      <c r="AV99" s="10"/>
      <c r="AW99" s="10"/>
      <c r="AX99" s="10"/>
      <c r="AY99" s="10"/>
      <c r="AZ99" s="10"/>
    </row>
    <row r="100" spans="27:52" s="12" customFormat="1" x14ac:dyDescent="0.25"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0"/>
      <c r="AP100" s="10"/>
      <c r="AQ100" s="10"/>
      <c r="AR100" s="10"/>
      <c r="AS100" s="10"/>
      <c r="AT100" s="10"/>
      <c r="AU100" s="10"/>
      <c r="AV100" s="10"/>
      <c r="AW100" s="10"/>
      <c r="AX100" s="10"/>
      <c r="AY100" s="10"/>
      <c r="AZ100" s="10"/>
    </row>
    <row r="101" spans="27:52" s="12" customFormat="1" x14ac:dyDescent="0.25"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0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</row>
    <row r="102" spans="27:52" s="12" customFormat="1" x14ac:dyDescent="0.25"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0"/>
      <c r="AP102" s="10"/>
      <c r="AQ102" s="10"/>
      <c r="AR102" s="10"/>
      <c r="AS102" s="10"/>
      <c r="AT102" s="10"/>
      <c r="AU102" s="10"/>
      <c r="AV102" s="10"/>
      <c r="AW102" s="10"/>
      <c r="AX102" s="10"/>
      <c r="AY102" s="10"/>
      <c r="AZ102" s="10"/>
    </row>
    <row r="103" spans="27:52" s="12" customFormat="1" x14ac:dyDescent="0.25"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0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</row>
    <row r="104" spans="27:52" s="12" customFormat="1" x14ac:dyDescent="0.25"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0"/>
      <c r="AP104" s="10"/>
      <c r="AQ104" s="10"/>
      <c r="AR104" s="10"/>
      <c r="AS104" s="10"/>
      <c r="AT104" s="10"/>
      <c r="AU104" s="10"/>
      <c r="AV104" s="10"/>
      <c r="AW104" s="10"/>
      <c r="AX104" s="10"/>
      <c r="AY104" s="10"/>
      <c r="AZ104" s="10"/>
    </row>
    <row r="105" spans="27:52" s="12" customFormat="1" x14ac:dyDescent="0.25"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0"/>
      <c r="AP105" s="10"/>
      <c r="AQ105" s="10"/>
      <c r="AR105" s="10"/>
      <c r="AS105" s="10"/>
      <c r="AT105" s="10"/>
      <c r="AU105" s="10"/>
      <c r="AV105" s="10"/>
      <c r="AW105" s="10"/>
      <c r="AX105" s="10"/>
      <c r="AY105" s="10"/>
      <c r="AZ105" s="10"/>
    </row>
    <row r="106" spans="27:52" s="12" customFormat="1" x14ac:dyDescent="0.25"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0"/>
      <c r="AP106" s="10"/>
      <c r="AQ106" s="10"/>
      <c r="AR106" s="10"/>
      <c r="AS106" s="10"/>
      <c r="AT106" s="10"/>
      <c r="AU106" s="10"/>
      <c r="AV106" s="10"/>
      <c r="AW106" s="10"/>
      <c r="AX106" s="10"/>
      <c r="AY106" s="10"/>
      <c r="AZ106" s="10"/>
    </row>
    <row r="107" spans="27:52" s="12" customFormat="1" x14ac:dyDescent="0.25">
      <c r="AA107" s="25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0"/>
      <c r="AP107" s="10"/>
      <c r="AQ107" s="10"/>
      <c r="AR107" s="10"/>
      <c r="AS107" s="10"/>
      <c r="AT107" s="10"/>
      <c r="AU107" s="10"/>
      <c r="AV107" s="10"/>
      <c r="AW107" s="10"/>
      <c r="AX107" s="10"/>
      <c r="AY107" s="10"/>
      <c r="AZ107" s="10"/>
    </row>
    <row r="108" spans="27:52" s="12" customFormat="1" x14ac:dyDescent="0.25"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0"/>
      <c r="AP108" s="10"/>
      <c r="AQ108" s="10"/>
      <c r="AR108" s="10"/>
      <c r="AS108" s="10"/>
      <c r="AT108" s="10"/>
      <c r="AU108" s="10"/>
      <c r="AV108" s="10"/>
      <c r="AW108" s="10"/>
      <c r="AX108" s="10"/>
      <c r="AY108" s="10"/>
      <c r="AZ108" s="10"/>
    </row>
    <row r="109" spans="27:52" s="12" customFormat="1" x14ac:dyDescent="0.25">
      <c r="AB109" s="10"/>
      <c r="AC109" s="10"/>
      <c r="AD109" s="10"/>
      <c r="AE109" s="10"/>
      <c r="AF109" s="10"/>
      <c r="AG109" s="10"/>
      <c r="AH109" s="10"/>
      <c r="AI109" s="10"/>
      <c r="AJ109" s="10"/>
      <c r="AK109" s="10"/>
      <c r="AL109" s="10"/>
      <c r="AM109" s="10"/>
      <c r="AN109" s="10"/>
      <c r="AO109" s="10"/>
      <c r="AP109" s="10"/>
      <c r="AQ109" s="10"/>
      <c r="AR109" s="10"/>
      <c r="AS109" s="10"/>
      <c r="AT109" s="10"/>
      <c r="AU109" s="10"/>
      <c r="AV109" s="10"/>
      <c r="AW109" s="10"/>
      <c r="AX109" s="10"/>
      <c r="AY109" s="10"/>
      <c r="AZ109" s="10"/>
    </row>
    <row r="110" spans="27:52" s="12" customFormat="1" x14ac:dyDescent="0.25">
      <c r="AB110" s="10"/>
      <c r="AC110" s="10"/>
      <c r="AD110" s="10"/>
      <c r="AE110" s="10"/>
      <c r="AF110" s="10"/>
      <c r="AG110" s="10"/>
      <c r="AH110" s="10"/>
      <c r="AI110" s="10"/>
      <c r="AJ110" s="10"/>
      <c r="AK110" s="10"/>
      <c r="AL110" s="10"/>
      <c r="AM110" s="10"/>
      <c r="AN110" s="10"/>
      <c r="AO110" s="10"/>
      <c r="AP110" s="10"/>
      <c r="AQ110" s="10"/>
      <c r="AR110" s="10"/>
      <c r="AS110" s="10"/>
      <c r="AT110" s="10"/>
      <c r="AU110" s="10"/>
      <c r="AV110" s="10"/>
      <c r="AW110" s="10"/>
      <c r="AX110" s="10"/>
      <c r="AY110" s="10"/>
      <c r="AZ110" s="10"/>
    </row>
    <row r="111" spans="27:52" s="12" customFormat="1" x14ac:dyDescent="0.25">
      <c r="AB111" s="10"/>
      <c r="AC111" s="10"/>
      <c r="AD111" s="10"/>
      <c r="AE111" s="10"/>
      <c r="AF111" s="10"/>
      <c r="AG111" s="10"/>
      <c r="AH111" s="10"/>
      <c r="AI111" s="10"/>
      <c r="AJ111" s="10"/>
      <c r="AK111" s="10"/>
      <c r="AL111" s="10"/>
      <c r="AM111" s="10"/>
      <c r="AN111" s="10"/>
      <c r="AO111" s="10"/>
      <c r="AP111" s="10"/>
      <c r="AQ111" s="10"/>
      <c r="AR111" s="10"/>
      <c r="AS111" s="10"/>
      <c r="AT111" s="10"/>
      <c r="AU111" s="10"/>
      <c r="AV111" s="10"/>
      <c r="AW111" s="10"/>
      <c r="AX111" s="10"/>
      <c r="AY111" s="10"/>
      <c r="AZ111" s="10"/>
    </row>
    <row r="112" spans="27:52" s="12" customFormat="1" x14ac:dyDescent="0.25"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</row>
    <row r="113" spans="28:52" s="12" customFormat="1" x14ac:dyDescent="0.25">
      <c r="AB113" s="10"/>
      <c r="AC113" s="10"/>
      <c r="AD113" s="10"/>
      <c r="AE113" s="10"/>
      <c r="AF113" s="10"/>
      <c r="AG113" s="10"/>
      <c r="AH113" s="10"/>
      <c r="AI113" s="10"/>
      <c r="AJ113" s="10"/>
      <c r="AK113" s="10"/>
      <c r="AL113" s="10"/>
      <c r="AM113" s="10"/>
      <c r="AN113" s="10"/>
      <c r="AO113" s="10"/>
      <c r="AP113" s="10"/>
      <c r="AQ113" s="10"/>
      <c r="AR113" s="10"/>
      <c r="AS113" s="10"/>
      <c r="AT113" s="10"/>
      <c r="AU113" s="10"/>
      <c r="AV113" s="10"/>
      <c r="AW113" s="10"/>
      <c r="AX113" s="10"/>
      <c r="AY113" s="10"/>
      <c r="AZ113" s="10"/>
    </row>
    <row r="114" spans="28:52" s="12" customFormat="1" x14ac:dyDescent="0.25">
      <c r="AB114" s="10"/>
      <c r="AC114" s="10"/>
      <c r="AD114" s="10"/>
      <c r="AE114" s="10"/>
      <c r="AF114" s="10"/>
      <c r="AG114" s="10"/>
      <c r="AH114" s="10"/>
      <c r="AI114" s="10"/>
      <c r="AJ114" s="10"/>
      <c r="AK114" s="10"/>
      <c r="AL114" s="10"/>
      <c r="AM114" s="10"/>
      <c r="AN114" s="10"/>
      <c r="AO114" s="10"/>
      <c r="AP114" s="10"/>
      <c r="AQ114" s="10"/>
      <c r="AR114" s="10"/>
      <c r="AS114" s="10"/>
      <c r="AT114" s="10"/>
      <c r="AU114" s="10"/>
      <c r="AV114" s="10"/>
      <c r="AW114" s="10"/>
      <c r="AX114" s="10"/>
      <c r="AY114" s="10"/>
      <c r="AZ114" s="10"/>
    </row>
    <row r="115" spans="28:52" s="12" customFormat="1" x14ac:dyDescent="0.25">
      <c r="AB115" s="10"/>
      <c r="AC115" s="10"/>
      <c r="AD115" s="10"/>
      <c r="AE115" s="10"/>
      <c r="AF115" s="10"/>
      <c r="AG115" s="10"/>
      <c r="AH115" s="10"/>
      <c r="AI115" s="10"/>
      <c r="AJ115" s="10"/>
      <c r="AK115" s="10"/>
      <c r="AL115" s="10"/>
      <c r="AM115" s="10"/>
      <c r="AN115" s="10"/>
      <c r="AO115" s="10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</row>
    <row r="116" spans="28:52" s="12" customFormat="1" x14ac:dyDescent="0.25">
      <c r="AB116" s="10"/>
      <c r="AC116" s="10"/>
      <c r="AD116" s="10"/>
      <c r="AE116" s="10"/>
      <c r="AF116" s="10"/>
      <c r="AG116" s="10"/>
      <c r="AH116" s="10"/>
      <c r="AI116" s="10"/>
      <c r="AJ116" s="10"/>
      <c r="AK116" s="10"/>
      <c r="AL116" s="10"/>
      <c r="AM116" s="10"/>
      <c r="AN116" s="10"/>
      <c r="AO116" s="10"/>
      <c r="AP116" s="10"/>
      <c r="AQ116" s="10"/>
      <c r="AR116" s="10"/>
      <c r="AS116" s="10"/>
      <c r="AT116" s="10"/>
      <c r="AU116" s="10"/>
      <c r="AV116" s="10"/>
      <c r="AW116" s="10"/>
      <c r="AX116" s="10"/>
      <c r="AY116" s="10"/>
      <c r="AZ116" s="10"/>
    </row>
    <row r="117" spans="28:52" s="12" customFormat="1" x14ac:dyDescent="0.25"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</row>
    <row r="118" spans="28:52" s="12" customFormat="1" x14ac:dyDescent="0.25">
      <c r="AB118" s="10"/>
      <c r="AC118" s="10"/>
      <c r="AD118" s="10"/>
      <c r="AE118" s="10"/>
      <c r="AF118" s="10"/>
      <c r="AG118" s="10"/>
      <c r="AH118" s="10"/>
      <c r="AI118" s="10"/>
      <c r="AJ118" s="10"/>
      <c r="AK118" s="10"/>
      <c r="AL118" s="10"/>
      <c r="AM118" s="10"/>
      <c r="AN118" s="10"/>
      <c r="AO118" s="10"/>
      <c r="AP118" s="10"/>
      <c r="AQ118" s="10"/>
      <c r="AR118" s="10"/>
      <c r="AS118" s="10"/>
      <c r="AT118" s="10"/>
      <c r="AU118" s="10"/>
      <c r="AV118" s="10"/>
      <c r="AW118" s="10"/>
      <c r="AX118" s="10"/>
      <c r="AY118" s="10"/>
      <c r="AZ118" s="10"/>
    </row>
    <row r="119" spans="28:52" s="12" customFormat="1" x14ac:dyDescent="0.25"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0"/>
      <c r="AP119" s="10"/>
      <c r="AQ119" s="10"/>
      <c r="AR119" s="10"/>
      <c r="AS119" s="10"/>
      <c r="AT119" s="10"/>
      <c r="AU119" s="10"/>
      <c r="AV119" s="10"/>
      <c r="AW119" s="10"/>
      <c r="AX119" s="10"/>
      <c r="AY119" s="10"/>
      <c r="AZ119" s="10"/>
    </row>
    <row r="120" spans="28:52" s="12" customFormat="1" x14ac:dyDescent="0.25"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0"/>
      <c r="AP120" s="10"/>
      <c r="AQ120" s="10"/>
      <c r="AR120" s="10"/>
      <c r="AS120" s="10"/>
      <c r="AT120" s="10"/>
      <c r="AU120" s="10"/>
      <c r="AV120" s="10"/>
      <c r="AW120" s="10"/>
      <c r="AX120" s="10"/>
      <c r="AY120" s="10"/>
      <c r="AZ120" s="10"/>
    </row>
    <row r="121" spans="28:52" s="12" customFormat="1" x14ac:dyDescent="0.25"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0"/>
      <c r="AP121" s="10"/>
      <c r="AQ121" s="10"/>
      <c r="AR121" s="10"/>
      <c r="AS121" s="10"/>
      <c r="AT121" s="10"/>
      <c r="AU121" s="10"/>
      <c r="AV121" s="10"/>
      <c r="AW121" s="10"/>
      <c r="AX121" s="10"/>
      <c r="AY121" s="10"/>
      <c r="AZ121" s="10"/>
    </row>
    <row r="122" spans="28:52" s="12" customFormat="1" x14ac:dyDescent="0.25"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0"/>
      <c r="AP122" s="10"/>
      <c r="AQ122" s="10"/>
      <c r="AR122" s="10"/>
      <c r="AS122" s="10"/>
      <c r="AT122" s="10"/>
      <c r="AU122" s="10"/>
      <c r="AV122" s="10"/>
      <c r="AW122" s="10"/>
      <c r="AX122" s="10"/>
      <c r="AY122" s="10"/>
      <c r="AZ122" s="10"/>
    </row>
    <row r="123" spans="28:52" s="12" customFormat="1" x14ac:dyDescent="0.25"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0"/>
      <c r="AP123" s="10"/>
      <c r="AQ123" s="10"/>
      <c r="AR123" s="10"/>
      <c r="AS123" s="10"/>
      <c r="AT123" s="10"/>
      <c r="AU123" s="10"/>
      <c r="AV123" s="10"/>
      <c r="AW123" s="10"/>
      <c r="AX123" s="10"/>
      <c r="AY123" s="10"/>
      <c r="AZ123" s="10"/>
    </row>
    <row r="124" spans="28:52" s="12" customFormat="1" x14ac:dyDescent="0.25"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0"/>
      <c r="AP124" s="10"/>
      <c r="AQ124" s="10"/>
      <c r="AR124" s="10"/>
      <c r="AS124" s="10"/>
      <c r="AT124" s="10"/>
      <c r="AU124" s="10"/>
      <c r="AV124" s="10"/>
      <c r="AW124" s="10"/>
      <c r="AX124" s="10"/>
      <c r="AY124" s="10"/>
      <c r="AZ124" s="10"/>
    </row>
    <row r="125" spans="28:52" s="12" customFormat="1" x14ac:dyDescent="0.25"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0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</row>
    <row r="126" spans="28:52" s="12" customFormat="1" x14ac:dyDescent="0.25"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0"/>
      <c r="AP126" s="10"/>
      <c r="AQ126" s="10"/>
      <c r="AR126" s="10"/>
      <c r="AS126" s="10"/>
      <c r="AT126" s="10"/>
      <c r="AU126" s="10"/>
      <c r="AV126" s="10"/>
      <c r="AW126" s="10"/>
      <c r="AX126" s="10"/>
      <c r="AY126" s="10"/>
      <c r="AZ126" s="10"/>
    </row>
    <row r="127" spans="28:52" s="12" customFormat="1" x14ac:dyDescent="0.25"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0"/>
      <c r="AP127" s="10"/>
      <c r="AQ127" s="10"/>
      <c r="AR127" s="10"/>
      <c r="AS127" s="10"/>
      <c r="AT127" s="10"/>
      <c r="AU127" s="10"/>
      <c r="AV127" s="10"/>
      <c r="AW127" s="10"/>
      <c r="AX127" s="10"/>
      <c r="AY127" s="10"/>
      <c r="AZ127" s="10"/>
    </row>
    <row r="128" spans="28:52" s="12" customFormat="1" x14ac:dyDescent="0.25"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0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</row>
    <row r="129" spans="28:52" s="12" customFormat="1" x14ac:dyDescent="0.25"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0"/>
      <c r="AP129" s="10"/>
      <c r="AQ129" s="10"/>
      <c r="AR129" s="10"/>
      <c r="AS129" s="10"/>
      <c r="AT129" s="10"/>
      <c r="AU129" s="10"/>
      <c r="AV129" s="10"/>
      <c r="AW129" s="10"/>
      <c r="AX129" s="10"/>
      <c r="AY129" s="10"/>
      <c r="AZ129" s="10"/>
    </row>
    <row r="130" spans="28:52" s="12" customFormat="1" x14ac:dyDescent="0.25"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0"/>
      <c r="AP130" s="10"/>
      <c r="AQ130" s="10"/>
      <c r="AR130" s="10"/>
      <c r="AS130" s="10"/>
      <c r="AT130" s="10"/>
      <c r="AU130" s="10"/>
      <c r="AV130" s="10"/>
      <c r="AW130" s="10"/>
      <c r="AX130" s="10"/>
      <c r="AY130" s="10"/>
      <c r="AZ130" s="10"/>
    </row>
    <row r="131" spans="28:52" s="12" customFormat="1" x14ac:dyDescent="0.25">
      <c r="AB131" s="10"/>
      <c r="AC131" s="10"/>
      <c r="AD131" s="10"/>
      <c r="AE131" s="10"/>
      <c r="AF131" s="10"/>
      <c r="AG131" s="10"/>
      <c r="AH131" s="10"/>
      <c r="AI131" s="10"/>
      <c r="AJ131" s="10"/>
      <c r="AK131" s="10"/>
      <c r="AL131" s="10"/>
      <c r="AM131" s="10"/>
      <c r="AN131" s="10"/>
      <c r="AO131" s="10"/>
      <c r="AP131" s="10"/>
      <c r="AQ131" s="10"/>
      <c r="AR131" s="10"/>
      <c r="AS131" s="10"/>
      <c r="AT131" s="10"/>
      <c r="AU131" s="10"/>
      <c r="AV131" s="10"/>
      <c r="AW131" s="10"/>
      <c r="AX131" s="10"/>
      <c r="AY131" s="10"/>
      <c r="AZ131" s="10"/>
    </row>
    <row r="132" spans="28:52" s="12" customFormat="1" x14ac:dyDescent="0.25">
      <c r="AB132" s="10"/>
      <c r="AC132" s="10"/>
      <c r="AD132" s="10"/>
      <c r="AE132" s="10"/>
      <c r="AF132" s="10"/>
      <c r="AG132" s="10"/>
      <c r="AH132" s="10"/>
      <c r="AI132" s="10"/>
      <c r="AJ132" s="10"/>
      <c r="AK132" s="10"/>
      <c r="AL132" s="10"/>
      <c r="AM132" s="10"/>
      <c r="AN132" s="10"/>
      <c r="AO132" s="10"/>
      <c r="AP132" s="10"/>
      <c r="AQ132" s="10"/>
      <c r="AR132" s="10"/>
      <c r="AS132" s="10"/>
      <c r="AT132" s="10"/>
      <c r="AU132" s="10"/>
      <c r="AV132" s="10"/>
      <c r="AW132" s="10"/>
      <c r="AX132" s="10"/>
      <c r="AY132" s="10"/>
      <c r="AZ132" s="10"/>
    </row>
    <row r="133" spans="28:52" s="12" customFormat="1" x14ac:dyDescent="0.25">
      <c r="AB133" s="10"/>
      <c r="AC133" s="10"/>
      <c r="AD133" s="10"/>
      <c r="AE133" s="10"/>
      <c r="AF133" s="10"/>
      <c r="AG133" s="10"/>
      <c r="AH133" s="10"/>
      <c r="AI133" s="10"/>
      <c r="AJ133" s="10"/>
      <c r="AK133" s="10"/>
      <c r="AL133" s="10"/>
      <c r="AM133" s="10"/>
      <c r="AN133" s="10"/>
      <c r="AO133" s="10"/>
      <c r="AP133" s="10"/>
      <c r="AQ133" s="10"/>
      <c r="AR133" s="10"/>
      <c r="AS133" s="10"/>
      <c r="AT133" s="10"/>
      <c r="AU133" s="10"/>
      <c r="AV133" s="10"/>
      <c r="AW133" s="10"/>
      <c r="AX133" s="10"/>
      <c r="AY133" s="10"/>
      <c r="AZ133" s="10"/>
    </row>
    <row r="134" spans="28:52" s="12" customFormat="1" x14ac:dyDescent="0.25">
      <c r="AB134" s="10"/>
      <c r="AC134" s="10"/>
      <c r="AD134" s="10"/>
      <c r="AE134" s="10"/>
      <c r="AF134" s="10"/>
      <c r="AG134" s="10"/>
      <c r="AH134" s="10"/>
      <c r="AI134" s="10"/>
      <c r="AJ134" s="10"/>
      <c r="AK134" s="10"/>
      <c r="AL134" s="10"/>
      <c r="AM134" s="10"/>
      <c r="AN134" s="10"/>
      <c r="AO134" s="10"/>
      <c r="AP134" s="10"/>
      <c r="AQ134" s="10"/>
      <c r="AR134" s="10"/>
      <c r="AS134" s="10"/>
      <c r="AT134" s="10"/>
      <c r="AU134" s="10"/>
      <c r="AV134" s="10"/>
      <c r="AW134" s="10"/>
      <c r="AX134" s="10"/>
      <c r="AY134" s="10"/>
      <c r="AZ134" s="10"/>
    </row>
    <row r="135" spans="28:52" s="12" customFormat="1" x14ac:dyDescent="0.25">
      <c r="AB135" s="10"/>
      <c r="AC135" s="10"/>
      <c r="AD135" s="10"/>
      <c r="AE135" s="10"/>
      <c r="AF135" s="10"/>
      <c r="AG135" s="10"/>
      <c r="AH135" s="10"/>
      <c r="AI135" s="10"/>
      <c r="AJ135" s="10"/>
      <c r="AK135" s="10"/>
      <c r="AL135" s="10"/>
      <c r="AM135" s="10"/>
      <c r="AN135" s="10"/>
      <c r="AO135" s="10"/>
      <c r="AP135" s="10"/>
      <c r="AQ135" s="10"/>
      <c r="AR135" s="10"/>
      <c r="AS135" s="10"/>
      <c r="AT135" s="10"/>
      <c r="AU135" s="10"/>
      <c r="AV135" s="10"/>
      <c r="AW135" s="10"/>
      <c r="AX135" s="10"/>
      <c r="AY135" s="10"/>
      <c r="AZ135" s="10"/>
    </row>
    <row r="136" spans="28:52" s="12" customFormat="1" x14ac:dyDescent="0.25">
      <c r="AB136" s="10"/>
      <c r="AC136" s="10"/>
      <c r="AD136" s="10"/>
      <c r="AE136" s="10"/>
      <c r="AF136" s="10"/>
      <c r="AG136" s="10"/>
      <c r="AH136" s="10"/>
      <c r="AI136" s="10"/>
      <c r="AJ136" s="10"/>
      <c r="AK136" s="10"/>
      <c r="AL136" s="10"/>
      <c r="AM136" s="10"/>
      <c r="AN136" s="10"/>
      <c r="AO136" s="10"/>
      <c r="AP136" s="10"/>
      <c r="AQ136" s="10"/>
      <c r="AR136" s="10"/>
      <c r="AS136" s="10"/>
      <c r="AT136" s="10"/>
      <c r="AU136" s="10"/>
      <c r="AV136" s="10"/>
      <c r="AW136" s="10"/>
      <c r="AX136" s="10"/>
      <c r="AY136" s="10"/>
      <c r="AZ136" s="10"/>
    </row>
    <row r="137" spans="28:52" s="12" customFormat="1" x14ac:dyDescent="0.25">
      <c r="AB137" s="10"/>
      <c r="AC137" s="10"/>
      <c r="AD137" s="10"/>
      <c r="AE137" s="10"/>
      <c r="AF137" s="10"/>
      <c r="AG137" s="10"/>
      <c r="AH137" s="10"/>
      <c r="AI137" s="10"/>
      <c r="AJ137" s="10"/>
      <c r="AK137" s="10"/>
      <c r="AL137" s="10"/>
      <c r="AM137" s="10"/>
      <c r="AN137" s="10"/>
      <c r="AO137" s="10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</row>
    <row r="138" spans="28:52" s="12" customFormat="1" x14ac:dyDescent="0.25">
      <c r="AB138" s="10"/>
      <c r="AC138" s="10"/>
      <c r="AD138" s="10"/>
      <c r="AE138" s="10"/>
      <c r="AF138" s="10"/>
      <c r="AG138" s="10"/>
      <c r="AH138" s="10"/>
      <c r="AI138" s="10"/>
      <c r="AJ138" s="10"/>
      <c r="AK138" s="10"/>
      <c r="AL138" s="10"/>
      <c r="AM138" s="10"/>
      <c r="AN138" s="10"/>
      <c r="AO138" s="10"/>
      <c r="AP138" s="10"/>
      <c r="AQ138" s="10"/>
      <c r="AR138" s="10"/>
      <c r="AS138" s="10"/>
      <c r="AT138" s="10"/>
      <c r="AU138" s="10"/>
      <c r="AV138" s="10"/>
      <c r="AW138" s="10"/>
      <c r="AX138" s="10"/>
      <c r="AY138" s="10"/>
      <c r="AZ138" s="10"/>
    </row>
    <row r="139" spans="28:52" s="12" customFormat="1" x14ac:dyDescent="0.25"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</row>
    <row r="140" spans="28:52" s="12" customFormat="1" x14ac:dyDescent="0.25">
      <c r="AB140" s="10"/>
      <c r="AC140" s="10"/>
      <c r="AD140" s="10"/>
      <c r="AE140" s="10"/>
      <c r="AF140" s="10"/>
      <c r="AG140" s="10"/>
      <c r="AH140" s="10"/>
      <c r="AI140" s="10"/>
      <c r="AJ140" s="10"/>
      <c r="AK140" s="10"/>
      <c r="AL140" s="10"/>
      <c r="AM140" s="10"/>
      <c r="AN140" s="10"/>
      <c r="AO140" s="10"/>
      <c r="AP140" s="10"/>
      <c r="AQ140" s="10"/>
      <c r="AR140" s="10"/>
      <c r="AS140" s="10"/>
      <c r="AT140" s="10"/>
      <c r="AU140" s="10"/>
      <c r="AV140" s="10"/>
      <c r="AW140" s="10"/>
      <c r="AX140" s="10"/>
      <c r="AY140" s="10"/>
      <c r="AZ140" s="10"/>
    </row>
    <row r="141" spans="28:52" s="12" customFormat="1" x14ac:dyDescent="0.25"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0"/>
      <c r="AP141" s="10"/>
      <c r="AQ141" s="10"/>
      <c r="AR141" s="10"/>
      <c r="AS141" s="10"/>
      <c r="AT141" s="10"/>
      <c r="AU141" s="10"/>
      <c r="AV141" s="10"/>
      <c r="AW141" s="10"/>
      <c r="AX141" s="10"/>
      <c r="AY141" s="10"/>
      <c r="AZ141" s="10"/>
    </row>
    <row r="142" spans="28:52" s="12" customFormat="1" x14ac:dyDescent="0.25"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0"/>
      <c r="AP142" s="10"/>
      <c r="AQ142" s="10"/>
      <c r="AR142" s="10"/>
      <c r="AS142" s="10"/>
      <c r="AT142" s="10"/>
      <c r="AU142" s="10"/>
      <c r="AV142" s="10"/>
      <c r="AW142" s="10"/>
      <c r="AX142" s="10"/>
      <c r="AY142" s="10"/>
      <c r="AZ142" s="10"/>
    </row>
    <row r="143" spans="28:52" s="12" customFormat="1" x14ac:dyDescent="0.25"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0"/>
      <c r="AP143" s="10"/>
      <c r="AQ143" s="10"/>
      <c r="AR143" s="10"/>
      <c r="AS143" s="10"/>
      <c r="AT143" s="10"/>
      <c r="AU143" s="10"/>
      <c r="AV143" s="10"/>
      <c r="AW143" s="10"/>
      <c r="AX143" s="10"/>
      <c r="AY143" s="10"/>
      <c r="AZ143" s="10"/>
    </row>
    <row r="144" spans="28:52" s="12" customFormat="1" x14ac:dyDescent="0.25"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0"/>
      <c r="AP144" s="10"/>
      <c r="AQ144" s="10"/>
      <c r="AR144" s="10"/>
      <c r="AS144" s="10"/>
      <c r="AT144" s="10"/>
      <c r="AU144" s="10"/>
      <c r="AV144" s="10"/>
      <c r="AW144" s="10"/>
      <c r="AX144" s="10"/>
      <c r="AY144" s="10"/>
      <c r="AZ144" s="10"/>
    </row>
    <row r="145" spans="28:54" s="12" customFormat="1" x14ac:dyDescent="0.25"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0"/>
      <c r="AP145" s="10"/>
      <c r="AQ145" s="10"/>
      <c r="AR145" s="10"/>
      <c r="AS145" s="10"/>
      <c r="AT145" s="10"/>
      <c r="AU145" s="10"/>
      <c r="AV145" s="10"/>
      <c r="AW145" s="10"/>
      <c r="AX145" s="10"/>
      <c r="AY145" s="10"/>
      <c r="AZ145" s="10"/>
    </row>
    <row r="146" spans="28:54" s="12" customFormat="1" x14ac:dyDescent="0.25"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0"/>
      <c r="AP146" s="10"/>
      <c r="AQ146" s="10"/>
      <c r="AR146" s="10"/>
      <c r="AS146" s="10"/>
      <c r="AT146" s="10"/>
      <c r="AU146" s="10"/>
      <c r="AV146" s="10"/>
      <c r="AW146" s="10"/>
      <c r="AX146" s="10"/>
      <c r="AY146" s="10"/>
      <c r="AZ146" s="10"/>
    </row>
    <row r="147" spans="28:54" s="12" customFormat="1" x14ac:dyDescent="0.25"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0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</row>
    <row r="148" spans="28:54" s="12" customFormat="1" x14ac:dyDescent="0.25"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0"/>
      <c r="AP148" s="10"/>
      <c r="AQ148" s="10"/>
      <c r="AR148" s="10"/>
      <c r="AS148" s="10"/>
      <c r="AT148" s="10"/>
      <c r="AU148" s="10"/>
      <c r="AV148" s="10"/>
      <c r="AW148" s="10"/>
      <c r="AX148" s="10"/>
      <c r="AY148" s="10"/>
      <c r="AZ148" s="10"/>
    </row>
    <row r="149" spans="28:54" s="12" customFormat="1" x14ac:dyDescent="0.25"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0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</row>
    <row r="150" spans="28:54" s="12" customFormat="1" x14ac:dyDescent="0.25"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0"/>
      <c r="AP150" s="10"/>
      <c r="AQ150" s="10"/>
      <c r="AR150" s="10"/>
      <c r="AS150" s="10"/>
      <c r="AT150" s="10"/>
      <c r="AU150" s="10"/>
      <c r="AV150" s="10"/>
      <c r="AW150" s="10"/>
      <c r="AX150" s="10"/>
      <c r="AY150" s="10"/>
      <c r="AZ150" s="10"/>
    </row>
    <row r="151" spans="28:54" s="12" customFormat="1" x14ac:dyDescent="0.25"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0"/>
      <c r="AP151" s="10"/>
      <c r="AQ151" s="10"/>
      <c r="AR151" s="10"/>
      <c r="AS151" s="10"/>
      <c r="AT151" s="10"/>
      <c r="AU151" s="10"/>
      <c r="AV151" s="10"/>
      <c r="AW151" s="10"/>
      <c r="AX151" s="10"/>
      <c r="AY151" s="10"/>
      <c r="AZ151" s="10"/>
    </row>
    <row r="152" spans="28:54" s="12" customFormat="1" x14ac:dyDescent="0.25"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0"/>
      <c r="AP152" s="10"/>
      <c r="AQ152" s="10"/>
      <c r="AR152" s="10"/>
      <c r="AS152" s="10"/>
      <c r="AT152" s="10"/>
      <c r="AU152" s="10"/>
      <c r="AV152" s="10"/>
      <c r="AW152" s="10"/>
      <c r="AX152" s="10"/>
      <c r="AY152" s="10"/>
      <c r="AZ152" s="10"/>
    </row>
    <row r="153" spans="28:54" s="12" customFormat="1" x14ac:dyDescent="0.25">
      <c r="AB153" s="10"/>
      <c r="AC153" s="10"/>
      <c r="AD153" s="10"/>
      <c r="AE153" s="10"/>
      <c r="AF153" s="10"/>
      <c r="AG153" s="10"/>
      <c r="AH153" s="10"/>
      <c r="AI153" s="10"/>
      <c r="AJ153" s="10"/>
      <c r="AK153" s="10"/>
      <c r="AL153" s="10"/>
      <c r="AM153" s="10"/>
      <c r="AN153" s="10"/>
      <c r="AO153" s="10"/>
      <c r="AP153" s="10"/>
      <c r="AQ153" s="10"/>
      <c r="AR153" s="10"/>
      <c r="AS153" s="10"/>
      <c r="AT153" s="10"/>
      <c r="AU153" s="10"/>
      <c r="AV153" s="10"/>
      <c r="AW153" s="10"/>
      <c r="AX153" s="10"/>
      <c r="AY153" s="10"/>
      <c r="AZ153" s="10"/>
    </row>
    <row r="154" spans="28:54" s="12" customFormat="1" x14ac:dyDescent="0.25">
      <c r="AB154" s="10"/>
      <c r="AC154" s="10"/>
      <c r="AD154" s="10"/>
      <c r="AE154" s="10"/>
      <c r="AF154" s="10"/>
      <c r="AG154" s="10"/>
      <c r="AH154" s="10"/>
      <c r="AI154" s="10"/>
      <c r="AJ154" s="10"/>
      <c r="AK154" s="10"/>
      <c r="AL154" s="10"/>
      <c r="AM154" s="10"/>
      <c r="AN154" s="10"/>
      <c r="AO154" s="10"/>
      <c r="AP154" s="10"/>
      <c r="AQ154" s="10"/>
      <c r="AR154" s="10"/>
      <c r="AS154" s="10"/>
      <c r="AT154" s="10"/>
      <c r="AU154" s="10"/>
      <c r="AV154" s="10"/>
      <c r="AW154" s="10"/>
      <c r="AX154" s="10"/>
      <c r="AY154" s="10"/>
      <c r="AZ154" s="10"/>
    </row>
    <row r="155" spans="28:54" s="12" customFormat="1" x14ac:dyDescent="0.25">
      <c r="AB155" s="10"/>
      <c r="AC155" s="10"/>
      <c r="AD155" s="10"/>
      <c r="AE155" s="10"/>
      <c r="AF155" s="10"/>
      <c r="AG155" s="10"/>
      <c r="AH155" s="10"/>
      <c r="AI155" s="10"/>
      <c r="AJ155" s="10"/>
      <c r="AK155" s="10"/>
      <c r="AL155" s="10"/>
      <c r="AM155" s="10"/>
      <c r="AN155" s="10"/>
      <c r="AO155" s="10"/>
      <c r="AP155" s="10"/>
      <c r="AQ155" s="10"/>
      <c r="AR155" s="10"/>
      <c r="AS155" s="10"/>
      <c r="AT155" s="10"/>
      <c r="AU155" s="10"/>
      <c r="AV155" s="10"/>
      <c r="AW155" s="10"/>
      <c r="AX155" s="10"/>
      <c r="AY155" s="10"/>
      <c r="AZ155" s="10"/>
    </row>
    <row r="156" spans="28:54" s="12" customFormat="1" x14ac:dyDescent="0.25">
      <c r="AB156" s="10"/>
      <c r="AC156" s="10"/>
      <c r="AD156" s="10"/>
      <c r="AE156" s="10"/>
      <c r="AF156" s="10"/>
      <c r="AG156" s="10"/>
      <c r="AH156" s="10"/>
      <c r="AI156" s="10"/>
      <c r="AJ156" s="10"/>
      <c r="AK156" s="10"/>
      <c r="AL156" s="10"/>
      <c r="AM156" s="10"/>
      <c r="AN156" s="10"/>
      <c r="AO156" s="10"/>
      <c r="AP156" s="10"/>
      <c r="AQ156" s="10"/>
      <c r="AR156" s="10"/>
      <c r="AS156" s="10"/>
      <c r="AT156" s="10"/>
      <c r="AU156" s="10"/>
      <c r="AV156" s="10"/>
      <c r="AW156" s="10"/>
      <c r="AX156" s="10"/>
      <c r="AY156" s="10"/>
      <c r="AZ156" s="10"/>
    </row>
    <row r="157" spans="28:54" s="12" customFormat="1" x14ac:dyDescent="0.25">
      <c r="AB157" s="10"/>
      <c r="AC157" s="10"/>
      <c r="AD157" s="10"/>
      <c r="AE157" s="10"/>
      <c r="AF157" s="10"/>
      <c r="AG157" s="10"/>
      <c r="AH157" s="10"/>
      <c r="AI157" s="10"/>
      <c r="AJ157" s="10"/>
      <c r="AK157" s="10"/>
      <c r="AL157" s="10"/>
      <c r="AM157" s="10"/>
      <c r="AN157" s="10"/>
      <c r="AO157" s="10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</row>
    <row r="158" spans="28:54" s="12" customFormat="1" x14ac:dyDescent="0.25">
      <c r="AB158" s="10"/>
      <c r="AC158" s="10"/>
      <c r="AD158" s="10"/>
      <c r="AE158" s="10"/>
      <c r="AF158" s="10"/>
      <c r="AG158" s="10"/>
      <c r="AH158" s="10"/>
      <c r="AI158" s="10"/>
      <c r="AJ158" s="10"/>
      <c r="AK158" s="10"/>
      <c r="AL158" s="10"/>
      <c r="AM158" s="10"/>
      <c r="AN158" s="10"/>
      <c r="AO158" s="10"/>
      <c r="AP158" s="10"/>
      <c r="AQ158" s="10"/>
      <c r="AR158" s="10"/>
      <c r="AS158" s="10"/>
      <c r="AT158" s="10"/>
      <c r="AU158" s="10"/>
      <c r="AV158" s="10"/>
      <c r="AW158" s="10"/>
      <c r="AX158" s="10"/>
      <c r="AY158" s="10"/>
      <c r="AZ158" s="10"/>
      <c r="BA158" s="10"/>
      <c r="BB158" s="10"/>
    </row>
    <row r="159" spans="28:54" s="12" customFormat="1" x14ac:dyDescent="0.25">
      <c r="AB159" s="10"/>
      <c r="AC159" s="10"/>
      <c r="AD159" s="10"/>
      <c r="AE159" s="10"/>
      <c r="AF159" s="10"/>
      <c r="AG159" s="10"/>
      <c r="AH159" s="10"/>
      <c r="AI159" s="10"/>
      <c r="AJ159" s="10"/>
      <c r="AK159" s="10"/>
      <c r="AL159" s="10"/>
      <c r="AM159" s="10"/>
      <c r="AN159" s="10"/>
      <c r="AO159" s="10"/>
      <c r="AP159" s="10"/>
      <c r="AQ159" s="10"/>
      <c r="AR159" s="10"/>
      <c r="AS159" s="10"/>
      <c r="AT159" s="10"/>
      <c r="AU159" s="10"/>
      <c r="AV159" s="10"/>
      <c r="AW159" s="10"/>
      <c r="AX159" s="10"/>
      <c r="AY159" s="10"/>
      <c r="AZ159" s="10"/>
      <c r="BA159" s="10"/>
      <c r="BB159" s="10"/>
    </row>
    <row r="160" spans="28:54" s="12" customFormat="1" x14ac:dyDescent="0.25">
      <c r="AB160" s="10"/>
      <c r="AC160" s="10"/>
      <c r="AD160" s="10"/>
      <c r="AE160" s="10"/>
      <c r="AF160" s="10"/>
      <c r="AG160" s="10"/>
      <c r="AH160" s="10"/>
      <c r="AI160" s="10"/>
      <c r="AJ160" s="10"/>
      <c r="AK160" s="10"/>
      <c r="AL160" s="10"/>
      <c r="AM160" s="10"/>
      <c r="AN160" s="10"/>
      <c r="AO160" s="10"/>
      <c r="AP160" s="10"/>
      <c r="AQ160" s="10"/>
      <c r="AR160" s="10"/>
      <c r="AS160" s="10"/>
      <c r="AT160" s="10"/>
      <c r="AU160" s="10"/>
      <c r="AV160" s="10"/>
      <c r="AW160" s="10"/>
      <c r="AX160" s="10"/>
      <c r="AY160" s="10"/>
      <c r="AZ160" s="10"/>
      <c r="BA160" s="10"/>
      <c r="BB160" s="10"/>
    </row>
    <row r="161" spans="28:54" s="12" customFormat="1" x14ac:dyDescent="0.25"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</row>
    <row r="162" spans="28:54" s="12" customFormat="1" x14ac:dyDescent="0.25">
      <c r="AB162" s="10"/>
      <c r="AC162" s="10"/>
      <c r="AD162" s="10"/>
      <c r="AE162" s="10"/>
      <c r="AF162" s="10"/>
      <c r="AG162" s="10"/>
      <c r="AH162" s="10"/>
      <c r="AI162" s="10"/>
      <c r="AJ162" s="10"/>
      <c r="AK162" s="10"/>
      <c r="AL162" s="10"/>
      <c r="AM162" s="10"/>
      <c r="AN162" s="10"/>
      <c r="AO162" s="10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"/>
    </row>
    <row r="163" spans="28:54" s="12" customFormat="1" x14ac:dyDescent="0.25"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0"/>
      <c r="AP163" s="10"/>
      <c r="AQ163" s="10"/>
      <c r="AR163" s="10"/>
      <c r="AS163" s="10"/>
      <c r="AT163" s="10"/>
      <c r="AU163" s="10"/>
      <c r="AV163" s="10"/>
      <c r="AW163" s="10"/>
      <c r="AX163" s="10"/>
      <c r="AY163" s="10"/>
      <c r="AZ163" s="10"/>
      <c r="BA163" s="10"/>
      <c r="BB163" s="10"/>
    </row>
    <row r="164" spans="28:54" s="12" customFormat="1" x14ac:dyDescent="0.25"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0"/>
      <c r="AP164" s="10"/>
      <c r="AQ164" s="10"/>
      <c r="AR164" s="10"/>
      <c r="AS164" s="10"/>
      <c r="AT164" s="10"/>
      <c r="AU164" s="10"/>
      <c r="AV164" s="10"/>
      <c r="AW164" s="10"/>
      <c r="AX164" s="10"/>
      <c r="AY164" s="10"/>
      <c r="AZ164" s="10"/>
      <c r="BA164" s="10"/>
      <c r="BB164" s="10"/>
    </row>
    <row r="165" spans="28:54" s="12" customFormat="1" x14ac:dyDescent="0.25"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0"/>
      <c r="AP165" s="10"/>
      <c r="AQ165" s="10"/>
      <c r="AR165" s="10"/>
      <c r="AS165" s="10"/>
      <c r="AT165" s="10"/>
      <c r="AU165" s="10"/>
      <c r="AV165" s="10"/>
      <c r="AW165" s="10"/>
      <c r="AX165" s="10"/>
      <c r="AY165" s="10"/>
      <c r="AZ165" s="10"/>
      <c r="BA165" s="10"/>
      <c r="BB165" s="10"/>
    </row>
    <row r="166" spans="28:54" s="12" customFormat="1" x14ac:dyDescent="0.25"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0"/>
      <c r="AP166" s="10"/>
      <c r="AQ166" s="10"/>
      <c r="AR166" s="10"/>
      <c r="AS166" s="10"/>
      <c r="AT166" s="10"/>
      <c r="AU166" s="10"/>
      <c r="AV166" s="10"/>
      <c r="AW166" s="10"/>
      <c r="AX166" s="10"/>
      <c r="AY166" s="10"/>
      <c r="AZ166" s="10"/>
      <c r="BA166" s="10"/>
      <c r="BB166" s="10"/>
    </row>
    <row r="167" spans="28:54" s="12" customFormat="1" x14ac:dyDescent="0.25"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0"/>
      <c r="AP167" s="10"/>
      <c r="AQ167" s="10"/>
      <c r="AR167" s="10"/>
      <c r="AS167" s="10"/>
      <c r="AT167" s="10"/>
      <c r="AU167" s="10"/>
      <c r="AV167" s="10"/>
      <c r="AW167" s="10"/>
      <c r="AX167" s="10"/>
      <c r="AY167" s="10"/>
      <c r="AZ167" s="10"/>
      <c r="BA167" s="10"/>
      <c r="BB167" s="10"/>
    </row>
    <row r="168" spans="28:54" s="12" customFormat="1" x14ac:dyDescent="0.25"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0"/>
      <c r="AP168" s="10"/>
      <c r="AQ168" s="10"/>
      <c r="AR168" s="10"/>
      <c r="AS168" s="10"/>
      <c r="AT168" s="10"/>
      <c r="AU168" s="10"/>
      <c r="AV168" s="10"/>
      <c r="AW168" s="10"/>
      <c r="AX168" s="10"/>
      <c r="AY168" s="10"/>
      <c r="AZ168" s="10"/>
      <c r="BA168" s="10"/>
      <c r="BB168" s="10"/>
    </row>
    <row r="169" spans="28:54" s="12" customFormat="1" x14ac:dyDescent="0.25"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0"/>
      <c r="AP169" s="10"/>
      <c r="AQ169" s="10"/>
      <c r="AR169" s="10"/>
      <c r="AS169" s="10"/>
      <c r="AT169" s="10"/>
      <c r="AU169" s="10"/>
      <c r="AV169" s="10"/>
      <c r="AW169" s="10"/>
      <c r="AX169" s="10"/>
      <c r="AY169" s="10"/>
      <c r="AZ169" s="10"/>
      <c r="BA169" s="10"/>
      <c r="BB169" s="10"/>
    </row>
    <row r="170" spans="28:54" s="12" customFormat="1" x14ac:dyDescent="0.25"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0"/>
      <c r="AP170" s="10"/>
      <c r="AQ170" s="10"/>
      <c r="AR170" s="10"/>
      <c r="AS170" s="10"/>
      <c r="AT170" s="10"/>
      <c r="AU170" s="10"/>
      <c r="AV170" s="10"/>
      <c r="AW170" s="10"/>
      <c r="AX170" s="10"/>
      <c r="AY170" s="10"/>
      <c r="AZ170" s="10"/>
      <c r="BA170" s="10"/>
      <c r="BB170" s="10"/>
    </row>
    <row r="171" spans="28:54" s="12" customFormat="1" x14ac:dyDescent="0.25"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0"/>
      <c r="AP171" s="10"/>
      <c r="AQ171" s="10"/>
      <c r="AR171" s="10"/>
      <c r="AS171" s="10"/>
      <c r="AT171" s="10"/>
      <c r="AU171" s="10"/>
      <c r="AV171" s="10"/>
      <c r="AW171" s="10"/>
      <c r="AX171" s="10"/>
      <c r="AY171" s="10"/>
      <c r="AZ171" s="10"/>
      <c r="BA171" s="10"/>
      <c r="BB171" s="10"/>
    </row>
    <row r="172" spans="28:54" s="12" customFormat="1" x14ac:dyDescent="0.25"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0"/>
      <c r="AP172" s="10"/>
      <c r="AQ172" s="10"/>
      <c r="AR172" s="10"/>
      <c r="AS172" s="10"/>
      <c r="AT172" s="10"/>
      <c r="AU172" s="10"/>
      <c r="AV172" s="10"/>
      <c r="AW172" s="10"/>
      <c r="AX172" s="10"/>
      <c r="AY172" s="10"/>
      <c r="AZ172" s="10"/>
      <c r="BA172" s="10"/>
      <c r="BB172" s="10"/>
    </row>
    <row r="173" spans="28:54" s="12" customFormat="1" x14ac:dyDescent="0.25"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</row>
    <row r="174" spans="28:54" s="12" customFormat="1" x14ac:dyDescent="0.25"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0"/>
      <c r="AP174" s="10"/>
      <c r="AQ174" s="10"/>
      <c r="AR174" s="10"/>
      <c r="AS174" s="10"/>
      <c r="AT174" s="10"/>
      <c r="AU174" s="10"/>
      <c r="AV174" s="10"/>
      <c r="AW174" s="10"/>
      <c r="AX174" s="10"/>
      <c r="AY174" s="10"/>
      <c r="AZ174" s="10"/>
      <c r="BA174" s="10"/>
      <c r="BB174" s="10"/>
    </row>
    <row r="175" spans="28:54" s="12" customFormat="1" x14ac:dyDescent="0.25">
      <c r="AB175" s="10"/>
      <c r="AC175" s="10"/>
      <c r="AD175" s="10"/>
      <c r="AE175" s="10"/>
      <c r="AF175" s="10"/>
      <c r="AG175" s="10"/>
      <c r="AH175" s="10"/>
      <c r="AI175" s="10"/>
      <c r="AJ175" s="10"/>
      <c r="AK175" s="10"/>
      <c r="AL175" s="10"/>
      <c r="AM175" s="10"/>
      <c r="AN175" s="10"/>
      <c r="AO175" s="10"/>
      <c r="AP175" s="10"/>
      <c r="AQ175" s="10"/>
      <c r="AR175" s="10"/>
      <c r="AS175" s="10"/>
      <c r="AT175" s="10"/>
      <c r="AU175" s="10"/>
      <c r="AV175" s="10"/>
      <c r="AW175" s="10"/>
      <c r="AX175" s="10"/>
      <c r="AY175" s="10"/>
      <c r="AZ175" s="10"/>
      <c r="BA175" s="10"/>
    </row>
    <row r="176" spans="28:54" s="12" customFormat="1" x14ac:dyDescent="0.25">
      <c r="AB176" s="10"/>
      <c r="AC176" s="10"/>
      <c r="AD176" s="10"/>
      <c r="AE176" s="10"/>
      <c r="AF176" s="10"/>
      <c r="AG176" s="10"/>
      <c r="AH176" s="10"/>
      <c r="AI176" s="10"/>
      <c r="AJ176" s="10"/>
      <c r="AK176" s="10"/>
      <c r="AL176" s="10"/>
      <c r="AM176" s="10"/>
      <c r="AN176" s="10"/>
      <c r="AO176" s="10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</row>
    <row r="177" spans="28:53" s="12" customFormat="1" x14ac:dyDescent="0.25">
      <c r="AB177" s="10"/>
      <c r="AC177" s="10"/>
      <c r="AD177" s="10"/>
      <c r="AE177" s="10"/>
      <c r="AF177" s="10"/>
      <c r="AG177" s="10"/>
      <c r="AH177" s="10"/>
      <c r="AI177" s="10"/>
      <c r="AJ177" s="10"/>
      <c r="AK177" s="10"/>
      <c r="AL177" s="10"/>
      <c r="AM177" s="10"/>
      <c r="AN177" s="10"/>
      <c r="AO177" s="10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</row>
    <row r="178" spans="28:53" s="12" customFormat="1" x14ac:dyDescent="0.25">
      <c r="AB178" s="10"/>
      <c r="AC178" s="10"/>
      <c r="AD178" s="10"/>
      <c r="AE178" s="10"/>
      <c r="AF178" s="10"/>
      <c r="AG178" s="10"/>
      <c r="AH178" s="10"/>
      <c r="AI178" s="10"/>
      <c r="AJ178" s="10"/>
      <c r="AK178" s="10"/>
      <c r="AL178" s="10"/>
      <c r="AM178" s="10"/>
      <c r="AN178" s="10"/>
      <c r="AO178" s="10"/>
      <c r="AP178" s="10"/>
      <c r="AQ178" s="10"/>
      <c r="AR178" s="10"/>
      <c r="AS178" s="10"/>
      <c r="AT178" s="10"/>
      <c r="AU178" s="10"/>
      <c r="AV178" s="10"/>
      <c r="AW178" s="10"/>
      <c r="AX178" s="10"/>
      <c r="AY178" s="10"/>
      <c r="AZ178" s="10"/>
      <c r="BA178" s="10"/>
    </row>
    <row r="179" spans="28:53" s="12" customFormat="1" x14ac:dyDescent="0.25">
      <c r="AB179" s="10"/>
      <c r="AC179" s="10"/>
      <c r="AD179" s="10"/>
      <c r="AE179" s="10"/>
      <c r="AF179" s="10"/>
      <c r="AG179" s="10"/>
      <c r="AH179" s="10"/>
      <c r="AI179" s="10"/>
      <c r="AJ179" s="10"/>
      <c r="AK179" s="10"/>
      <c r="AL179" s="10"/>
      <c r="AM179" s="10"/>
      <c r="AN179" s="10"/>
      <c r="AO179" s="10"/>
      <c r="AP179" s="10"/>
      <c r="AQ179" s="10"/>
      <c r="AR179" s="10"/>
      <c r="AS179" s="10"/>
      <c r="AT179" s="10"/>
      <c r="AU179" s="10"/>
      <c r="AV179" s="10"/>
      <c r="AW179" s="10"/>
      <c r="AX179" s="10"/>
      <c r="AY179" s="10"/>
      <c r="AZ179" s="10"/>
      <c r="BA179" s="10"/>
    </row>
    <row r="180" spans="28:53" s="12" customFormat="1" x14ac:dyDescent="0.25">
      <c r="AB180" s="10"/>
      <c r="AC180" s="10"/>
      <c r="AD180" s="10"/>
      <c r="AE180" s="10"/>
      <c r="AF180" s="10"/>
      <c r="AG180" s="10"/>
      <c r="AH180" s="10"/>
      <c r="AI180" s="10"/>
      <c r="AJ180" s="10"/>
      <c r="AK180" s="10"/>
      <c r="AL180" s="10"/>
      <c r="AM180" s="10"/>
      <c r="AN180" s="10"/>
      <c r="AO180" s="10"/>
      <c r="AP180" s="10"/>
      <c r="AQ180" s="10"/>
      <c r="AR180" s="10"/>
      <c r="AS180" s="10"/>
      <c r="AT180" s="10"/>
      <c r="AU180" s="10"/>
      <c r="AV180" s="10"/>
      <c r="AW180" s="10"/>
      <c r="AX180" s="10"/>
      <c r="AY180" s="10"/>
      <c r="AZ180" s="10"/>
      <c r="BA180" s="10"/>
    </row>
    <row r="181" spans="28:53" s="12" customFormat="1" x14ac:dyDescent="0.25">
      <c r="AB181" s="10"/>
      <c r="AC181" s="10"/>
      <c r="AD181" s="10"/>
      <c r="AE181" s="10"/>
      <c r="AF181" s="10"/>
      <c r="AG181" s="10"/>
      <c r="AH181" s="10"/>
      <c r="AI181" s="10"/>
      <c r="AJ181" s="10"/>
      <c r="AK181" s="10"/>
      <c r="AL181" s="10"/>
      <c r="AM181" s="10"/>
      <c r="AN181" s="10"/>
      <c r="AO181" s="10"/>
      <c r="AP181" s="10"/>
      <c r="AQ181" s="10"/>
      <c r="AR181" s="10"/>
      <c r="AS181" s="10"/>
      <c r="AT181" s="10"/>
      <c r="AU181" s="10"/>
      <c r="AV181" s="10"/>
      <c r="AW181" s="10"/>
      <c r="AX181" s="10"/>
      <c r="AY181" s="10"/>
      <c r="AZ181" s="10"/>
      <c r="BA181" s="10"/>
    </row>
    <row r="182" spans="28:53" s="12" customFormat="1" x14ac:dyDescent="0.25">
      <c r="AB182" s="10"/>
      <c r="AC182" s="10"/>
      <c r="AD182" s="10"/>
      <c r="AE182" s="10"/>
      <c r="AF182" s="10"/>
      <c r="AG182" s="10"/>
      <c r="AH182" s="10"/>
      <c r="AI182" s="10"/>
      <c r="AJ182" s="10"/>
      <c r="AK182" s="10"/>
      <c r="AL182" s="10"/>
      <c r="AM182" s="10"/>
      <c r="AN182" s="10"/>
      <c r="AO182" s="10"/>
      <c r="AP182" s="10"/>
      <c r="AQ182" s="10"/>
      <c r="AR182" s="10"/>
      <c r="AS182" s="10"/>
      <c r="AT182" s="10"/>
      <c r="AU182" s="10"/>
      <c r="AV182" s="10"/>
      <c r="AW182" s="10"/>
      <c r="AX182" s="10"/>
      <c r="AY182" s="10"/>
      <c r="AZ182" s="10"/>
      <c r="BA182" s="10"/>
    </row>
    <row r="183" spans="28:53" s="12" customFormat="1" x14ac:dyDescent="0.25"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</row>
    <row r="184" spans="28:53" s="12" customFormat="1" x14ac:dyDescent="0.25">
      <c r="AB184" s="10"/>
      <c r="AC184" s="10"/>
      <c r="AD184" s="10"/>
      <c r="AE184" s="10"/>
      <c r="AF184" s="10"/>
      <c r="AG184" s="10"/>
      <c r="AH184" s="10"/>
      <c r="AI184" s="10"/>
      <c r="AJ184" s="10"/>
      <c r="AK184" s="10"/>
      <c r="AL184" s="10"/>
      <c r="AM184" s="10"/>
      <c r="AN184" s="10"/>
      <c r="AO184" s="10"/>
      <c r="AP184" s="10"/>
      <c r="AQ184" s="10"/>
      <c r="AR184" s="10"/>
      <c r="AS184" s="10"/>
      <c r="AT184" s="10"/>
      <c r="AU184" s="10"/>
      <c r="AV184" s="10"/>
      <c r="AW184" s="10"/>
      <c r="AX184" s="10"/>
      <c r="AY184" s="10"/>
      <c r="AZ184" s="10"/>
      <c r="BA184" s="10"/>
    </row>
    <row r="185" spans="28:53" s="12" customFormat="1" x14ac:dyDescent="0.25"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0"/>
      <c r="AP185" s="10"/>
      <c r="AQ185" s="10"/>
      <c r="AR185" s="10"/>
      <c r="AS185" s="10"/>
      <c r="AT185" s="10"/>
      <c r="AU185" s="10"/>
      <c r="AV185" s="10"/>
      <c r="AW185" s="10"/>
      <c r="AX185" s="10"/>
      <c r="AY185" s="10"/>
      <c r="AZ185" s="10"/>
      <c r="BA185" s="10"/>
    </row>
    <row r="186" spans="28:53" s="12" customFormat="1" x14ac:dyDescent="0.25"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0"/>
      <c r="AP186" s="10"/>
      <c r="AQ186" s="10"/>
      <c r="AR186" s="10"/>
      <c r="AS186" s="10"/>
      <c r="AT186" s="10"/>
      <c r="AU186" s="10"/>
      <c r="AV186" s="10"/>
      <c r="AW186" s="10"/>
      <c r="AX186" s="10"/>
      <c r="AY186" s="10"/>
      <c r="AZ186" s="10"/>
      <c r="BA186" s="10"/>
    </row>
    <row r="187" spans="28:53" s="12" customFormat="1" x14ac:dyDescent="0.25"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0"/>
      <c r="AP187" s="10"/>
      <c r="AQ187" s="10"/>
      <c r="AR187" s="10"/>
      <c r="AS187" s="10"/>
      <c r="AT187" s="10"/>
      <c r="AU187" s="10"/>
      <c r="AV187" s="10"/>
      <c r="AW187" s="10"/>
      <c r="AX187" s="10"/>
      <c r="AY187" s="10"/>
      <c r="AZ187" s="10"/>
      <c r="BA187" s="10"/>
    </row>
    <row r="188" spans="28:53" s="12" customFormat="1" x14ac:dyDescent="0.25"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0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</row>
    <row r="189" spans="28:53" s="12" customFormat="1" x14ac:dyDescent="0.25"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0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</row>
    <row r="190" spans="28:53" s="12" customFormat="1" x14ac:dyDescent="0.25"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0"/>
      <c r="AP190" s="10"/>
      <c r="AQ190" s="10"/>
      <c r="AR190" s="10"/>
      <c r="AS190" s="10"/>
      <c r="AT190" s="10"/>
      <c r="AU190" s="10"/>
      <c r="AV190" s="10"/>
      <c r="AW190" s="10"/>
      <c r="AX190" s="10"/>
      <c r="AY190" s="10"/>
      <c r="AZ190" s="10"/>
      <c r="BA190" s="10"/>
    </row>
    <row r="191" spans="28:53" s="12" customFormat="1" x14ac:dyDescent="0.25"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0"/>
      <c r="AP191" s="10"/>
      <c r="AQ191" s="10"/>
      <c r="AR191" s="10"/>
      <c r="AS191" s="10"/>
      <c r="AT191" s="10"/>
      <c r="AU191" s="10"/>
      <c r="AV191" s="10"/>
      <c r="AW191" s="10"/>
      <c r="AX191" s="10"/>
      <c r="AY191" s="10"/>
      <c r="AZ191" s="10"/>
      <c r="BA191" s="10"/>
    </row>
    <row r="192" spans="28:53" s="12" customFormat="1" x14ac:dyDescent="0.25"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0"/>
      <c r="AP192" s="10"/>
      <c r="AQ192" s="10"/>
      <c r="AR192" s="10"/>
      <c r="AS192" s="10"/>
      <c r="AT192" s="10"/>
      <c r="AU192" s="10"/>
      <c r="AV192" s="10"/>
      <c r="AW192" s="10"/>
      <c r="AX192" s="10"/>
      <c r="AY192" s="10"/>
      <c r="AZ192" s="10"/>
      <c r="BA192" s="10"/>
    </row>
    <row r="193" spans="28:53" s="12" customFormat="1" x14ac:dyDescent="0.25"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0"/>
      <c r="AP193" s="10"/>
      <c r="AQ193" s="10"/>
      <c r="AR193" s="10"/>
      <c r="AS193" s="10"/>
      <c r="AT193" s="10"/>
      <c r="AU193" s="10"/>
      <c r="AV193" s="10"/>
      <c r="AW193" s="10"/>
      <c r="AX193" s="10"/>
      <c r="AY193" s="10"/>
      <c r="AZ193" s="10"/>
      <c r="BA193" s="10"/>
    </row>
    <row r="194" spans="28:53" s="12" customFormat="1" x14ac:dyDescent="0.25"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0"/>
      <c r="AP194" s="10"/>
      <c r="AQ194" s="10"/>
      <c r="AR194" s="10"/>
      <c r="AS194" s="10"/>
      <c r="AT194" s="10"/>
      <c r="AU194" s="10"/>
      <c r="AV194" s="10"/>
      <c r="AW194" s="10"/>
      <c r="AX194" s="10"/>
      <c r="AY194" s="10"/>
      <c r="AZ194" s="10"/>
      <c r="BA194" s="10"/>
    </row>
    <row r="195" spans="28:53" s="12" customFormat="1" x14ac:dyDescent="0.25"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0"/>
      <c r="AP195" s="10"/>
      <c r="AQ195" s="10"/>
      <c r="AR195" s="10"/>
      <c r="AS195" s="10"/>
      <c r="AT195" s="10"/>
      <c r="AU195" s="10"/>
      <c r="AV195" s="10"/>
      <c r="AW195" s="10"/>
      <c r="AX195" s="10"/>
      <c r="AY195" s="10"/>
      <c r="AZ195" s="10"/>
      <c r="BA195" s="10"/>
    </row>
    <row r="196" spans="28:53" s="12" customFormat="1" x14ac:dyDescent="0.25"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0"/>
      <c r="AP196" s="10"/>
      <c r="AQ196" s="10"/>
      <c r="AR196" s="10"/>
      <c r="AS196" s="10"/>
      <c r="AT196" s="10"/>
      <c r="AU196" s="10"/>
      <c r="AV196" s="10"/>
      <c r="AW196" s="10"/>
      <c r="AX196" s="10"/>
      <c r="AY196" s="10"/>
      <c r="AZ196" s="10"/>
      <c r="BA196" s="10"/>
    </row>
    <row r="197" spans="28:53" s="12" customFormat="1" x14ac:dyDescent="0.25">
      <c r="AB197" s="10"/>
      <c r="AC197" s="10"/>
      <c r="AD197" s="10"/>
      <c r="AE197" s="10"/>
      <c r="AF197" s="10"/>
      <c r="AG197" s="10"/>
      <c r="AH197" s="10"/>
      <c r="AI197" s="10"/>
      <c r="AJ197" s="10"/>
      <c r="AK197" s="10"/>
      <c r="AL197" s="10"/>
      <c r="AM197" s="10"/>
      <c r="AN197" s="10"/>
      <c r="AO197" s="10"/>
      <c r="AP197" s="10"/>
      <c r="AQ197" s="10"/>
      <c r="AR197" s="10"/>
      <c r="AS197" s="10"/>
      <c r="AT197" s="10"/>
      <c r="AU197" s="10"/>
      <c r="AV197" s="10"/>
      <c r="AW197" s="10"/>
      <c r="AX197" s="10"/>
      <c r="AY197" s="10"/>
      <c r="AZ197" s="10"/>
      <c r="BA197" s="10"/>
    </row>
    <row r="198" spans="28:53" s="12" customFormat="1" x14ac:dyDescent="0.25">
      <c r="AB198" s="10"/>
      <c r="AC198" s="10"/>
      <c r="AD198" s="10"/>
      <c r="AE198" s="10"/>
      <c r="AF198" s="10"/>
      <c r="AG198" s="10"/>
      <c r="AH198" s="10"/>
      <c r="AI198" s="10"/>
      <c r="AJ198" s="10"/>
      <c r="AK198" s="10"/>
      <c r="AL198" s="10"/>
      <c r="AM198" s="10"/>
      <c r="AN198" s="10"/>
      <c r="AO198" s="10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</row>
    <row r="199" spans="28:53" s="12" customFormat="1" x14ac:dyDescent="0.25">
      <c r="AB199" s="10"/>
      <c r="AC199" s="10"/>
      <c r="AD199" s="10"/>
      <c r="AE199" s="10"/>
      <c r="AF199" s="10"/>
      <c r="AG199" s="10"/>
      <c r="AH199" s="10"/>
      <c r="AI199" s="10"/>
      <c r="AJ199" s="10"/>
      <c r="AK199" s="10"/>
      <c r="AL199" s="10"/>
      <c r="AM199" s="10"/>
      <c r="AN199" s="10"/>
      <c r="AO199" s="10"/>
      <c r="AP199" s="10"/>
      <c r="AQ199" s="10"/>
      <c r="AR199" s="10"/>
      <c r="AS199" s="10"/>
      <c r="AT199" s="10"/>
      <c r="AU199" s="10"/>
      <c r="AV199" s="10"/>
      <c r="AW199" s="10"/>
      <c r="AX199" s="10"/>
      <c r="AY199" s="10"/>
      <c r="AZ199" s="10"/>
      <c r="BA199" s="10"/>
    </row>
    <row r="200" spans="28:53" s="12" customFormat="1" x14ac:dyDescent="0.25">
      <c r="AB200" s="10"/>
      <c r="AC200" s="10"/>
      <c r="AD200" s="10"/>
      <c r="AE200" s="10"/>
      <c r="AF200" s="10"/>
      <c r="AG200" s="10"/>
      <c r="AH200" s="10"/>
      <c r="AI200" s="10"/>
      <c r="AJ200" s="10"/>
      <c r="AK200" s="10"/>
      <c r="AL200" s="10"/>
      <c r="AM200" s="10"/>
      <c r="AN200" s="10"/>
      <c r="AO200" s="10"/>
      <c r="AP200" s="10"/>
      <c r="AQ200" s="10"/>
      <c r="AR200" s="10"/>
      <c r="AS200" s="10"/>
      <c r="AT200" s="10"/>
      <c r="AU200" s="10"/>
      <c r="AV200" s="10"/>
      <c r="AW200" s="10"/>
      <c r="AX200" s="10"/>
      <c r="AY200" s="10"/>
      <c r="AZ200" s="10"/>
      <c r="BA200" s="10"/>
    </row>
    <row r="201" spans="28:53" s="12" customFormat="1" x14ac:dyDescent="0.25">
      <c r="AB201" s="10"/>
      <c r="AC201" s="10"/>
      <c r="AD201" s="10"/>
      <c r="AE201" s="10"/>
      <c r="AF201" s="10"/>
      <c r="AG201" s="10"/>
      <c r="AH201" s="10"/>
      <c r="AI201" s="10"/>
      <c r="AJ201" s="10"/>
      <c r="AK201" s="10"/>
      <c r="AL201" s="10"/>
      <c r="AM201" s="10"/>
      <c r="AN201" s="10"/>
      <c r="AO201" s="10"/>
      <c r="AP201" s="10"/>
      <c r="AQ201" s="10"/>
      <c r="AR201" s="10"/>
      <c r="AS201" s="10"/>
      <c r="AT201" s="10"/>
      <c r="AU201" s="10"/>
      <c r="AV201" s="10"/>
      <c r="AW201" s="10"/>
      <c r="AX201" s="10"/>
      <c r="AY201" s="10"/>
      <c r="AZ201" s="10"/>
      <c r="BA201" s="10"/>
    </row>
    <row r="202" spans="28:53" s="12" customFormat="1" x14ac:dyDescent="0.25">
      <c r="AB202" s="10"/>
      <c r="AC202" s="10"/>
      <c r="AD202" s="10"/>
      <c r="AE202" s="10"/>
      <c r="AF202" s="10"/>
      <c r="AG202" s="10"/>
      <c r="AH202" s="10"/>
      <c r="AI202" s="10"/>
      <c r="AJ202" s="10"/>
      <c r="AK202" s="10"/>
      <c r="AL202" s="10"/>
      <c r="AM202" s="10"/>
      <c r="AN202" s="10"/>
      <c r="AO202" s="10"/>
      <c r="AP202" s="10"/>
      <c r="AQ202" s="10"/>
      <c r="AR202" s="10"/>
      <c r="AS202" s="10"/>
      <c r="AT202" s="10"/>
      <c r="AU202" s="10"/>
      <c r="AV202" s="10"/>
      <c r="AW202" s="10"/>
      <c r="AX202" s="10"/>
      <c r="AY202" s="10"/>
      <c r="AZ202" s="10"/>
      <c r="BA202" s="10"/>
    </row>
    <row r="203" spans="28:53" s="12" customFormat="1" x14ac:dyDescent="0.25">
      <c r="AB203" s="10"/>
      <c r="AC203" s="10"/>
      <c r="AD203" s="10"/>
      <c r="AE203" s="10"/>
      <c r="AF203" s="10"/>
      <c r="AG203" s="10"/>
      <c r="AH203" s="10"/>
      <c r="AI203" s="10"/>
      <c r="AJ203" s="10"/>
      <c r="AK203" s="10"/>
      <c r="AL203" s="10"/>
      <c r="AM203" s="10"/>
      <c r="AN203" s="10"/>
      <c r="AO203" s="10"/>
      <c r="AP203" s="10"/>
      <c r="AQ203" s="10"/>
      <c r="AR203" s="10"/>
      <c r="AS203" s="10"/>
      <c r="AT203" s="10"/>
      <c r="AU203" s="10"/>
      <c r="AV203" s="10"/>
      <c r="AW203" s="10"/>
      <c r="AX203" s="10"/>
      <c r="AY203" s="10"/>
      <c r="AZ203" s="10"/>
      <c r="BA203" s="10"/>
    </row>
    <row r="204" spans="28:53" s="12" customFormat="1" x14ac:dyDescent="0.25">
      <c r="AB204" s="10"/>
      <c r="AC204" s="10"/>
      <c r="AD204" s="10"/>
      <c r="AE204" s="10"/>
      <c r="AF204" s="10"/>
      <c r="AG204" s="10"/>
      <c r="AH204" s="10"/>
      <c r="AI204" s="10"/>
      <c r="AJ204" s="10"/>
      <c r="AK204" s="10"/>
      <c r="AL204" s="10"/>
      <c r="AM204" s="10"/>
      <c r="AN204" s="10"/>
      <c r="AO204" s="10"/>
      <c r="AP204" s="10"/>
      <c r="AQ204" s="10"/>
      <c r="AR204" s="10"/>
      <c r="AS204" s="10"/>
      <c r="AT204" s="10"/>
      <c r="AU204" s="10"/>
      <c r="AV204" s="10"/>
      <c r="AW204" s="10"/>
      <c r="AX204" s="10"/>
      <c r="AY204" s="10"/>
      <c r="AZ204" s="10"/>
      <c r="BA204" s="10"/>
    </row>
    <row r="205" spans="28:53" s="12" customFormat="1" x14ac:dyDescent="0.25"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</row>
    <row r="206" spans="28:53" s="12" customFormat="1" x14ac:dyDescent="0.25">
      <c r="AB206" s="10"/>
      <c r="AC206" s="10"/>
      <c r="AD206" s="10"/>
      <c r="AE206" s="10"/>
      <c r="AF206" s="10"/>
      <c r="AG206" s="10"/>
      <c r="AH206" s="10"/>
      <c r="AI206" s="10"/>
      <c r="AJ206" s="10"/>
      <c r="AK206" s="10"/>
      <c r="AL206" s="10"/>
      <c r="AM206" s="10"/>
      <c r="AN206" s="10"/>
      <c r="AO206" s="10"/>
      <c r="AP206" s="10"/>
      <c r="AQ206" s="10"/>
      <c r="AR206" s="10"/>
      <c r="AS206" s="10"/>
      <c r="AT206" s="10"/>
      <c r="AU206" s="10"/>
      <c r="AV206" s="10"/>
      <c r="AW206" s="10"/>
      <c r="AX206" s="10"/>
      <c r="AY206" s="10"/>
      <c r="AZ206" s="10"/>
      <c r="BA206" s="10"/>
    </row>
    <row r="207" spans="28:53" s="12" customFormat="1" x14ac:dyDescent="0.25"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0"/>
      <c r="AP207" s="10"/>
      <c r="AQ207" s="10"/>
      <c r="AR207" s="10"/>
      <c r="AS207" s="10"/>
      <c r="AT207" s="10"/>
      <c r="AU207" s="10"/>
      <c r="AV207" s="10"/>
      <c r="AW207" s="10"/>
      <c r="AX207" s="10"/>
      <c r="AY207" s="10"/>
      <c r="AZ207" s="10"/>
      <c r="BA207" s="10"/>
    </row>
    <row r="208" spans="28:53" s="12" customFormat="1" x14ac:dyDescent="0.25"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0"/>
      <c r="AP208" s="10"/>
      <c r="AQ208" s="10"/>
      <c r="AR208" s="10"/>
      <c r="AS208" s="10"/>
      <c r="AT208" s="10"/>
      <c r="AU208" s="10"/>
      <c r="AV208" s="10"/>
      <c r="AW208" s="10"/>
      <c r="AX208" s="10"/>
      <c r="AY208" s="10"/>
      <c r="AZ208" s="10"/>
      <c r="BA208" s="10"/>
    </row>
    <row r="209" spans="28:53" s="12" customFormat="1" x14ac:dyDescent="0.25"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0"/>
      <c r="AP209" s="10"/>
      <c r="AQ209" s="10"/>
      <c r="AR209" s="10"/>
      <c r="AS209" s="10"/>
      <c r="AT209" s="10"/>
      <c r="AU209" s="10"/>
      <c r="AV209" s="10"/>
      <c r="AW209" s="10"/>
      <c r="AX209" s="10"/>
      <c r="AY209" s="10"/>
      <c r="AZ209" s="10"/>
      <c r="BA209" s="10"/>
    </row>
    <row r="210" spans="28:53" s="12" customFormat="1" x14ac:dyDescent="0.25"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0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</row>
    <row r="211" spans="28:53" s="12" customFormat="1" x14ac:dyDescent="0.25"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0"/>
      <c r="AP211" s="10"/>
      <c r="AQ211" s="10"/>
      <c r="AR211" s="10"/>
      <c r="AS211" s="10"/>
      <c r="AT211" s="10"/>
      <c r="AU211" s="10"/>
      <c r="AV211" s="10"/>
      <c r="AW211" s="10"/>
      <c r="AX211" s="10"/>
      <c r="AY211" s="10"/>
      <c r="AZ211" s="10"/>
      <c r="BA211" s="10"/>
    </row>
    <row r="212" spans="28:53" s="12" customFormat="1" x14ac:dyDescent="0.25"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0"/>
      <c r="AP212" s="10"/>
      <c r="AQ212" s="10"/>
      <c r="AR212" s="10"/>
      <c r="AS212" s="10"/>
      <c r="AT212" s="10"/>
      <c r="AU212" s="10"/>
      <c r="AV212" s="10"/>
      <c r="AW212" s="10"/>
      <c r="AX212" s="10"/>
      <c r="AY212" s="10"/>
      <c r="AZ212" s="10"/>
      <c r="BA212" s="10"/>
    </row>
    <row r="213" spans="28:53" s="12" customFormat="1" x14ac:dyDescent="0.25"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0"/>
      <c r="AP213" s="10"/>
      <c r="AQ213" s="10"/>
      <c r="AR213" s="10"/>
      <c r="AS213" s="10"/>
      <c r="AT213" s="10"/>
      <c r="AU213" s="10"/>
      <c r="AV213" s="10"/>
      <c r="AW213" s="10"/>
      <c r="AX213" s="10"/>
      <c r="AY213" s="10"/>
      <c r="AZ213" s="10"/>
      <c r="BA213" s="10"/>
    </row>
    <row r="214" spans="28:53" s="12" customFormat="1" x14ac:dyDescent="0.25"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0"/>
      <c r="AP214" s="10"/>
      <c r="AQ214" s="10"/>
      <c r="AR214" s="10"/>
      <c r="AS214" s="10"/>
      <c r="AT214" s="10"/>
      <c r="AU214" s="10"/>
      <c r="AV214" s="10"/>
      <c r="AW214" s="10"/>
      <c r="AX214" s="10"/>
      <c r="AY214" s="10"/>
      <c r="AZ214" s="10"/>
      <c r="BA214" s="10"/>
    </row>
    <row r="215" spans="28:53" s="12" customFormat="1" x14ac:dyDescent="0.25"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0"/>
      <c r="AP215" s="10"/>
      <c r="AQ215" s="10"/>
      <c r="AR215" s="10"/>
      <c r="AS215" s="10"/>
      <c r="AT215" s="10"/>
      <c r="AU215" s="10"/>
      <c r="AV215" s="10"/>
      <c r="AW215" s="10"/>
      <c r="AX215" s="10"/>
      <c r="AY215" s="10"/>
      <c r="AZ215" s="10"/>
      <c r="BA215" s="10"/>
    </row>
    <row r="216" spans="28:53" s="12" customFormat="1" x14ac:dyDescent="0.25"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0"/>
      <c r="AP216" s="10"/>
      <c r="AQ216" s="10"/>
      <c r="AR216" s="10"/>
      <c r="AS216" s="10"/>
      <c r="AT216" s="10"/>
      <c r="AU216" s="10"/>
      <c r="AV216" s="10"/>
      <c r="AW216" s="10"/>
      <c r="AX216" s="10"/>
      <c r="AY216" s="10"/>
      <c r="AZ216" s="10"/>
      <c r="BA216" s="10"/>
    </row>
    <row r="217" spans="28:53" s="12" customFormat="1" x14ac:dyDescent="0.25"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0"/>
      <c r="AP217" s="10"/>
      <c r="AQ217" s="10"/>
      <c r="AR217" s="10"/>
      <c r="AS217" s="10"/>
      <c r="AT217" s="10"/>
      <c r="AU217" s="10"/>
      <c r="AV217" s="10"/>
      <c r="AW217" s="10"/>
      <c r="AX217" s="10"/>
      <c r="AY217" s="10"/>
      <c r="AZ217" s="10"/>
      <c r="BA217" s="10"/>
    </row>
    <row r="218" spans="28:53" s="12" customFormat="1" x14ac:dyDescent="0.25"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0"/>
      <c r="AP218" s="10"/>
      <c r="AQ218" s="10"/>
      <c r="AR218" s="10"/>
      <c r="AS218" s="10"/>
      <c r="AT218" s="10"/>
      <c r="AU218" s="10"/>
      <c r="AV218" s="10"/>
      <c r="AW218" s="10"/>
      <c r="AX218" s="10"/>
      <c r="AY218" s="10"/>
      <c r="AZ218" s="10"/>
      <c r="BA218" s="10"/>
    </row>
    <row r="219" spans="28:53" s="12" customFormat="1" x14ac:dyDescent="0.25">
      <c r="AB219" s="10"/>
      <c r="AC219" s="10"/>
      <c r="AD219" s="10"/>
      <c r="AE219" s="10"/>
      <c r="AF219" s="10"/>
      <c r="AG219" s="10"/>
      <c r="AH219" s="10"/>
      <c r="AI219" s="10"/>
      <c r="AJ219" s="10"/>
      <c r="AK219" s="10"/>
      <c r="AL219" s="10"/>
      <c r="AM219" s="10"/>
      <c r="AN219" s="10"/>
      <c r="AO219" s="10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</row>
    <row r="220" spans="28:53" s="12" customFormat="1" x14ac:dyDescent="0.25">
      <c r="AB220" s="10"/>
      <c r="AC220" s="10"/>
      <c r="AD220" s="10"/>
      <c r="AE220" s="10"/>
      <c r="AF220" s="10"/>
      <c r="AG220" s="10"/>
      <c r="AH220" s="10"/>
      <c r="AI220" s="10"/>
      <c r="AJ220" s="10"/>
      <c r="AK220" s="10"/>
      <c r="AL220" s="10"/>
      <c r="AM220" s="10"/>
      <c r="AN220" s="10"/>
      <c r="AO220" s="10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</row>
    <row r="221" spans="28:53" s="12" customFormat="1" x14ac:dyDescent="0.25">
      <c r="AB221" s="10"/>
      <c r="AC221" s="10"/>
      <c r="AD221" s="10"/>
      <c r="AE221" s="10"/>
      <c r="AF221" s="10"/>
      <c r="AG221" s="10"/>
      <c r="AH221" s="10"/>
      <c r="AI221" s="10"/>
      <c r="AJ221" s="10"/>
      <c r="AK221" s="10"/>
      <c r="AL221" s="10"/>
      <c r="AM221" s="10"/>
      <c r="AN221" s="10"/>
      <c r="AO221" s="10"/>
      <c r="AP221" s="10"/>
      <c r="AQ221" s="10"/>
      <c r="AR221" s="10"/>
      <c r="AS221" s="10"/>
      <c r="AT221" s="10"/>
      <c r="AU221" s="10"/>
      <c r="AV221" s="10"/>
      <c r="AW221" s="10"/>
      <c r="AX221" s="10"/>
      <c r="AY221" s="10"/>
      <c r="AZ221" s="10"/>
      <c r="BA221" s="10"/>
    </row>
    <row r="222" spans="28:53" s="12" customFormat="1" x14ac:dyDescent="0.25">
      <c r="AB222" s="10"/>
      <c r="AC222" s="10"/>
      <c r="AD222" s="10"/>
      <c r="AE222" s="10"/>
      <c r="AF222" s="10"/>
      <c r="AG222" s="10"/>
      <c r="AH222" s="10"/>
      <c r="AI222" s="10"/>
      <c r="AJ222" s="10"/>
      <c r="AK222" s="10"/>
      <c r="AL222" s="10"/>
      <c r="AM222" s="10"/>
      <c r="AN222" s="10"/>
      <c r="AO222" s="10"/>
      <c r="AP222" s="10"/>
      <c r="AQ222" s="10"/>
      <c r="AR222" s="10"/>
      <c r="AS222" s="10"/>
      <c r="AT222" s="10"/>
      <c r="AU222" s="10"/>
      <c r="AV222" s="10"/>
      <c r="AW222" s="10"/>
      <c r="AX222" s="10"/>
      <c r="AY222" s="10"/>
      <c r="AZ222" s="10"/>
      <c r="BA222" s="10"/>
    </row>
    <row r="223" spans="28:53" s="12" customFormat="1" x14ac:dyDescent="0.25">
      <c r="AB223" s="10"/>
      <c r="AC223" s="10"/>
      <c r="AD223" s="10"/>
      <c r="AE223" s="10"/>
      <c r="AF223" s="10"/>
      <c r="AG223" s="10"/>
      <c r="AH223" s="10"/>
      <c r="AI223" s="10"/>
      <c r="AJ223" s="10"/>
      <c r="AK223" s="10"/>
      <c r="AL223" s="10"/>
      <c r="AM223" s="10"/>
      <c r="AN223" s="10"/>
      <c r="AO223" s="10"/>
      <c r="AP223" s="10"/>
      <c r="AQ223" s="10"/>
      <c r="AR223" s="10"/>
      <c r="AS223" s="10"/>
      <c r="AT223" s="10"/>
      <c r="AU223" s="10"/>
      <c r="AV223" s="10"/>
      <c r="AW223" s="10"/>
      <c r="AX223" s="10"/>
      <c r="AY223" s="10"/>
      <c r="AZ223" s="10"/>
      <c r="BA223" s="10"/>
    </row>
    <row r="224" spans="28:53" s="12" customFormat="1" x14ac:dyDescent="0.25">
      <c r="AB224" s="10"/>
      <c r="AC224" s="10"/>
      <c r="AD224" s="10"/>
      <c r="AE224" s="10"/>
      <c r="AF224" s="10"/>
      <c r="AG224" s="10"/>
      <c r="AH224" s="10"/>
      <c r="AI224" s="10"/>
      <c r="AJ224" s="10"/>
      <c r="AK224" s="10"/>
      <c r="AL224" s="10"/>
      <c r="AM224" s="10"/>
      <c r="AN224" s="10"/>
      <c r="AO224" s="10"/>
      <c r="AP224" s="10"/>
      <c r="AQ224" s="10"/>
      <c r="AR224" s="10"/>
      <c r="AS224" s="10"/>
      <c r="AT224" s="10"/>
      <c r="AU224" s="10"/>
      <c r="AV224" s="10"/>
      <c r="AW224" s="10"/>
      <c r="AX224" s="10"/>
      <c r="AY224" s="10"/>
      <c r="AZ224" s="10"/>
      <c r="BA224" s="10"/>
    </row>
    <row r="225" spans="28:53" s="12" customFormat="1" x14ac:dyDescent="0.25">
      <c r="AB225" s="10"/>
      <c r="AC225" s="10"/>
      <c r="AD225" s="10"/>
      <c r="AE225" s="10"/>
      <c r="AF225" s="10"/>
      <c r="AG225" s="10"/>
      <c r="AH225" s="10"/>
      <c r="AI225" s="10"/>
      <c r="AJ225" s="10"/>
      <c r="AK225" s="10"/>
      <c r="AL225" s="10"/>
      <c r="AM225" s="10"/>
      <c r="AN225" s="10"/>
      <c r="AO225" s="10"/>
      <c r="AP225" s="10"/>
      <c r="AQ225" s="10"/>
      <c r="AR225" s="10"/>
      <c r="AS225" s="10"/>
      <c r="AT225" s="10"/>
      <c r="AU225" s="10"/>
      <c r="AV225" s="10"/>
      <c r="AW225" s="10"/>
      <c r="AX225" s="10"/>
      <c r="AY225" s="10"/>
      <c r="AZ225" s="10"/>
      <c r="BA225" s="10"/>
    </row>
    <row r="226" spans="28:53" s="12" customFormat="1" x14ac:dyDescent="0.25">
      <c r="AB226" s="10"/>
      <c r="AC226" s="10"/>
      <c r="AD226" s="10"/>
      <c r="AE226" s="10"/>
      <c r="AF226" s="10"/>
      <c r="AG226" s="10"/>
      <c r="AH226" s="10"/>
      <c r="AI226" s="10"/>
      <c r="AJ226" s="10"/>
      <c r="AK226" s="10"/>
      <c r="AL226" s="10"/>
      <c r="AM226" s="10"/>
      <c r="AN226" s="10"/>
      <c r="AO226" s="10"/>
      <c r="AP226" s="10"/>
      <c r="AQ226" s="10"/>
      <c r="AR226" s="10"/>
      <c r="AS226" s="10"/>
      <c r="AT226" s="10"/>
      <c r="AU226" s="10"/>
      <c r="AV226" s="10"/>
      <c r="AW226" s="10"/>
      <c r="AX226" s="10"/>
      <c r="AY226" s="10"/>
      <c r="AZ226" s="10"/>
      <c r="BA226" s="10"/>
    </row>
    <row r="227" spans="28:53" s="12" customFormat="1" x14ac:dyDescent="0.25">
      <c r="AB227" s="10"/>
      <c r="AC227" s="10"/>
      <c r="AD227" s="10"/>
      <c r="AE227" s="10"/>
      <c r="AF227" s="10"/>
      <c r="AG227" s="10"/>
      <c r="AH227" s="10"/>
      <c r="AI227" s="10"/>
      <c r="AJ227" s="10"/>
      <c r="AK227" s="10"/>
      <c r="AL227" s="10"/>
      <c r="AM227" s="10"/>
      <c r="AN227" s="10"/>
      <c r="AO227" s="10"/>
      <c r="AP227" s="10"/>
      <c r="AQ227" s="10"/>
      <c r="AR227" s="10"/>
      <c r="AS227" s="10"/>
      <c r="AT227" s="10"/>
      <c r="AU227" s="10"/>
      <c r="AV227" s="10"/>
      <c r="AW227" s="10"/>
      <c r="AX227" s="10"/>
      <c r="AY227" s="10"/>
      <c r="AZ227" s="10"/>
      <c r="BA227" s="10"/>
    </row>
    <row r="228" spans="28:53" s="12" customFormat="1" x14ac:dyDescent="0.25">
      <c r="AB228" s="10"/>
      <c r="AC228" s="10"/>
      <c r="AD228" s="10"/>
      <c r="AE228" s="10"/>
      <c r="AF228" s="10"/>
      <c r="AG228" s="10"/>
      <c r="AH228" s="10"/>
      <c r="AI228" s="10"/>
      <c r="AJ228" s="10"/>
      <c r="AK228" s="10"/>
      <c r="AL228" s="10"/>
      <c r="AM228" s="10"/>
      <c r="AN228" s="10"/>
      <c r="AO228" s="10"/>
      <c r="AP228" s="10"/>
      <c r="AQ228" s="10"/>
      <c r="AR228" s="10"/>
      <c r="AS228" s="10"/>
      <c r="AT228" s="10"/>
      <c r="AU228" s="10"/>
      <c r="AV228" s="10"/>
      <c r="AW228" s="10"/>
      <c r="AX228" s="10"/>
      <c r="AY228" s="10"/>
      <c r="AZ228" s="10"/>
      <c r="BA228" s="10"/>
    </row>
    <row r="229" spans="28:53" s="12" customFormat="1" x14ac:dyDescent="0.25">
      <c r="AB229" s="10"/>
      <c r="AC229" s="10"/>
      <c r="AD229" s="10"/>
      <c r="AE229" s="10"/>
      <c r="AF229" s="10"/>
      <c r="AG229" s="10"/>
      <c r="AH229" s="10"/>
      <c r="AI229" s="10"/>
      <c r="AJ229" s="10"/>
      <c r="AK229" s="10"/>
      <c r="AL229" s="10"/>
      <c r="AM229" s="10"/>
      <c r="AN229" s="10"/>
      <c r="AO229" s="10"/>
      <c r="AP229" s="10"/>
      <c r="AQ229" s="10"/>
      <c r="AR229" s="10"/>
      <c r="AS229" s="10"/>
      <c r="AT229" s="10"/>
      <c r="AU229" s="10"/>
      <c r="AV229" s="10"/>
      <c r="AW229" s="10"/>
      <c r="AX229" s="10"/>
      <c r="AY229" s="10"/>
      <c r="AZ229" s="10"/>
      <c r="BA229" s="10"/>
    </row>
    <row r="230" spans="28:53" s="12" customFormat="1" x14ac:dyDescent="0.25">
      <c r="AB230" s="10"/>
      <c r="AC230" s="10"/>
      <c r="AD230" s="10"/>
      <c r="AE230" s="10"/>
      <c r="AF230" s="10"/>
      <c r="AG230" s="10"/>
      <c r="AH230" s="10"/>
      <c r="AI230" s="10"/>
      <c r="AJ230" s="10"/>
      <c r="AK230" s="10"/>
      <c r="AL230" s="10"/>
      <c r="AM230" s="10"/>
      <c r="AN230" s="10"/>
      <c r="AO230" s="10"/>
      <c r="AP230" s="10"/>
      <c r="AQ230" s="10"/>
      <c r="AR230" s="10"/>
      <c r="AS230" s="10"/>
      <c r="AT230" s="10"/>
      <c r="AU230" s="10"/>
      <c r="AV230" s="10"/>
      <c r="AW230" s="10"/>
      <c r="AX230" s="10"/>
      <c r="AY230" s="10"/>
      <c r="AZ230" s="10"/>
      <c r="BA230" s="10"/>
    </row>
    <row r="231" spans="28:53" s="12" customFormat="1" x14ac:dyDescent="0.25">
      <c r="AB231" s="10"/>
      <c r="AC231" s="10"/>
      <c r="AD231" s="10"/>
      <c r="AE231" s="10"/>
      <c r="AF231" s="10"/>
      <c r="AG231" s="10"/>
      <c r="AH231" s="10"/>
      <c r="AI231" s="10"/>
      <c r="AJ231" s="10"/>
      <c r="AK231" s="10"/>
      <c r="AL231" s="10"/>
      <c r="AM231" s="10"/>
      <c r="AN231" s="10"/>
      <c r="AO231" s="10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</row>
    <row r="232" spans="28:53" s="12" customFormat="1" x14ac:dyDescent="0.25">
      <c r="AB232" s="10"/>
      <c r="AC232" s="10"/>
      <c r="AD232" s="10"/>
      <c r="AE232" s="10"/>
      <c r="AF232" s="10"/>
      <c r="AG232" s="10"/>
      <c r="AH232" s="10"/>
      <c r="AI232" s="10"/>
      <c r="AJ232" s="10"/>
      <c r="AK232" s="10"/>
      <c r="AL232" s="10"/>
      <c r="AM232" s="10"/>
      <c r="AN232" s="10"/>
      <c r="AO232" s="10"/>
      <c r="AP232" s="10"/>
      <c r="AQ232" s="10"/>
      <c r="AR232" s="10"/>
      <c r="AS232" s="10"/>
      <c r="AT232" s="10"/>
      <c r="AU232" s="10"/>
      <c r="AV232" s="10"/>
      <c r="AW232" s="10"/>
      <c r="AX232" s="10"/>
      <c r="AY232" s="10"/>
      <c r="AZ232" s="10"/>
      <c r="BA232" s="10"/>
    </row>
    <row r="233" spans="28:53" s="12" customFormat="1" x14ac:dyDescent="0.25">
      <c r="AB233" s="10"/>
      <c r="AC233" s="10"/>
      <c r="AD233" s="10"/>
      <c r="AE233" s="10"/>
      <c r="AF233" s="10"/>
      <c r="AG233" s="10"/>
      <c r="AH233" s="10"/>
      <c r="AI233" s="10"/>
      <c r="AJ233" s="10"/>
      <c r="AK233" s="10"/>
      <c r="AL233" s="10"/>
      <c r="AM233" s="10"/>
      <c r="AN233" s="10"/>
      <c r="AO233" s="10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</row>
    <row r="234" spans="28:53" s="12" customFormat="1" x14ac:dyDescent="0.25">
      <c r="AB234" s="10"/>
      <c r="AC234" s="10"/>
      <c r="AD234" s="10"/>
      <c r="AE234" s="10"/>
      <c r="AF234" s="10"/>
      <c r="AG234" s="10"/>
      <c r="AH234" s="10"/>
      <c r="AI234" s="10"/>
      <c r="AJ234" s="10"/>
      <c r="AK234" s="10"/>
      <c r="AL234" s="10"/>
      <c r="AM234" s="10"/>
      <c r="AN234" s="10"/>
      <c r="AO234" s="10"/>
      <c r="AP234" s="10"/>
      <c r="AQ234" s="10"/>
      <c r="AR234" s="10"/>
      <c r="AS234" s="10"/>
      <c r="AT234" s="10"/>
      <c r="AU234" s="10"/>
      <c r="AV234" s="10"/>
      <c r="AW234" s="10"/>
      <c r="AX234" s="10"/>
      <c r="AY234" s="10"/>
      <c r="AZ234" s="10"/>
      <c r="BA234" s="10"/>
    </row>
    <row r="235" spans="28:53" s="12" customFormat="1" x14ac:dyDescent="0.25">
      <c r="AB235" s="10"/>
      <c r="AC235" s="10"/>
      <c r="AD235" s="10"/>
      <c r="AE235" s="10"/>
      <c r="AF235" s="10"/>
      <c r="AG235" s="10"/>
      <c r="AH235" s="10"/>
      <c r="AI235" s="10"/>
      <c r="AJ235" s="10"/>
      <c r="AK235" s="10"/>
      <c r="AL235" s="10"/>
      <c r="AM235" s="10"/>
      <c r="AN235" s="10"/>
      <c r="AO235" s="10"/>
      <c r="AP235" s="10"/>
      <c r="AQ235" s="10"/>
      <c r="AR235" s="10"/>
      <c r="AS235" s="10"/>
      <c r="AT235" s="10"/>
      <c r="AU235" s="10"/>
      <c r="AV235" s="10"/>
      <c r="AW235" s="10"/>
      <c r="AX235" s="10"/>
      <c r="AY235" s="10"/>
      <c r="AZ235" s="10"/>
      <c r="BA235" s="10"/>
    </row>
    <row r="236" spans="28:53" s="12" customFormat="1" x14ac:dyDescent="0.25">
      <c r="AB236" s="10"/>
      <c r="AC236" s="10"/>
      <c r="AD236" s="10"/>
      <c r="AE236" s="10"/>
      <c r="AF236" s="10"/>
      <c r="AG236" s="10"/>
      <c r="AH236" s="10"/>
      <c r="AI236" s="10"/>
      <c r="AJ236" s="10"/>
      <c r="AK236" s="10"/>
      <c r="AL236" s="10"/>
      <c r="AM236" s="10"/>
      <c r="AN236" s="10"/>
      <c r="AO236" s="10"/>
      <c r="AP236" s="10"/>
      <c r="AQ236" s="10"/>
      <c r="AR236" s="10"/>
      <c r="AS236" s="10"/>
      <c r="AT236" s="10"/>
      <c r="AU236" s="10"/>
      <c r="AV236" s="10"/>
      <c r="AW236" s="10"/>
      <c r="AX236" s="10"/>
      <c r="AY236" s="10"/>
      <c r="AZ236" s="10"/>
      <c r="BA236" s="10"/>
    </row>
    <row r="237" spans="28:53" s="12" customFormat="1" x14ac:dyDescent="0.25">
      <c r="AB237" s="10"/>
      <c r="AC237" s="10"/>
      <c r="AD237" s="10"/>
      <c r="AE237" s="10"/>
      <c r="AF237" s="10"/>
      <c r="AG237" s="10"/>
      <c r="AH237" s="10"/>
      <c r="AI237" s="10"/>
      <c r="AJ237" s="10"/>
      <c r="AK237" s="10"/>
      <c r="AL237" s="10"/>
      <c r="AM237" s="10"/>
      <c r="AN237" s="10"/>
      <c r="AO237" s="10"/>
      <c r="AP237" s="10"/>
      <c r="AQ237" s="10"/>
      <c r="AR237" s="10"/>
      <c r="AS237" s="10"/>
      <c r="AT237" s="10"/>
      <c r="AU237" s="10"/>
      <c r="AV237" s="10"/>
      <c r="AW237" s="10"/>
      <c r="AX237" s="10"/>
      <c r="AY237" s="10"/>
      <c r="AZ237" s="10"/>
      <c r="BA237" s="10"/>
    </row>
    <row r="238" spans="28:53" s="12" customFormat="1" x14ac:dyDescent="0.25">
      <c r="AB238" s="10"/>
      <c r="AC238" s="10"/>
      <c r="AD238" s="10"/>
      <c r="AE238" s="10"/>
      <c r="AF238" s="10"/>
      <c r="AG238" s="10"/>
      <c r="AH238" s="10"/>
      <c r="AI238" s="10"/>
      <c r="AJ238" s="10"/>
      <c r="AK238" s="10"/>
      <c r="AL238" s="10"/>
      <c r="AM238" s="10"/>
      <c r="AN238" s="10"/>
      <c r="AO238" s="10"/>
      <c r="AP238" s="10"/>
      <c r="AQ238" s="10"/>
      <c r="AR238" s="10"/>
      <c r="AS238" s="10"/>
      <c r="AT238" s="10"/>
      <c r="AU238" s="10"/>
      <c r="AV238" s="10"/>
      <c r="AW238" s="10"/>
      <c r="AX238" s="10"/>
      <c r="AY238" s="10"/>
      <c r="AZ238" s="10"/>
      <c r="BA238" s="10"/>
    </row>
    <row r="239" spans="28:53" s="12" customFormat="1" x14ac:dyDescent="0.25">
      <c r="AB239" s="10"/>
      <c r="AC239" s="10"/>
      <c r="AD239" s="10"/>
      <c r="AE239" s="10"/>
      <c r="AF239" s="10"/>
      <c r="AG239" s="10"/>
      <c r="AH239" s="10"/>
      <c r="AI239" s="10"/>
      <c r="AJ239" s="10"/>
      <c r="AK239" s="10"/>
      <c r="AL239" s="10"/>
      <c r="AM239" s="10"/>
      <c r="AN239" s="10"/>
      <c r="AO239" s="10"/>
      <c r="AP239" s="10"/>
      <c r="AQ239" s="10"/>
      <c r="AR239" s="10"/>
      <c r="AS239" s="10"/>
      <c r="AT239" s="10"/>
      <c r="AU239" s="10"/>
      <c r="AV239" s="10"/>
      <c r="AW239" s="10"/>
      <c r="AX239" s="10"/>
      <c r="AY239" s="10"/>
      <c r="AZ239" s="10"/>
      <c r="BA239" s="10"/>
    </row>
    <row r="240" spans="28:53" s="12" customFormat="1" x14ac:dyDescent="0.25">
      <c r="AB240" s="10"/>
      <c r="AC240" s="10"/>
      <c r="AD240" s="10"/>
      <c r="AE240" s="10"/>
      <c r="AF240" s="10"/>
      <c r="AG240" s="10"/>
      <c r="AH240" s="10"/>
      <c r="AI240" s="10"/>
      <c r="AJ240" s="10"/>
      <c r="AK240" s="10"/>
      <c r="AL240" s="10"/>
      <c r="AM240" s="10"/>
      <c r="AN240" s="10"/>
      <c r="AO240" s="10"/>
      <c r="AP240" s="10"/>
      <c r="AQ240" s="10"/>
      <c r="AR240" s="10"/>
      <c r="AS240" s="10"/>
      <c r="AT240" s="10"/>
      <c r="AU240" s="10"/>
      <c r="AV240" s="10"/>
      <c r="AW240" s="10"/>
      <c r="AX240" s="10"/>
      <c r="AY240" s="10"/>
      <c r="AZ240" s="10"/>
      <c r="BA240" s="10"/>
    </row>
    <row r="241" spans="28:53" s="12" customFormat="1" x14ac:dyDescent="0.25">
      <c r="AB241" s="10"/>
      <c r="AC241" s="10"/>
      <c r="AD241" s="10"/>
      <c r="AE241" s="10"/>
      <c r="AF241" s="10"/>
      <c r="AG241" s="10"/>
      <c r="AH241" s="10"/>
      <c r="AI241" s="10"/>
      <c r="AJ241" s="10"/>
      <c r="AK241" s="10"/>
      <c r="AL241" s="10"/>
      <c r="AM241" s="10"/>
      <c r="AN241" s="10"/>
      <c r="AO241" s="10"/>
      <c r="AP241" s="10"/>
      <c r="AQ241" s="10"/>
      <c r="AR241" s="10"/>
      <c r="AS241" s="10"/>
      <c r="AT241" s="10"/>
      <c r="AU241" s="10"/>
      <c r="AV241" s="10"/>
      <c r="AW241" s="10"/>
      <c r="AX241" s="10"/>
      <c r="AY241" s="10"/>
      <c r="AZ241" s="10"/>
      <c r="BA241" s="10"/>
    </row>
    <row r="242" spans="28:53" s="12" customFormat="1" x14ac:dyDescent="0.25">
      <c r="AB242" s="10"/>
      <c r="AC242" s="10"/>
      <c r="AD242" s="10"/>
      <c r="AE242" s="10"/>
      <c r="AF242" s="10"/>
      <c r="AG242" s="10"/>
      <c r="AH242" s="10"/>
      <c r="AI242" s="10"/>
      <c r="AJ242" s="10"/>
      <c r="AK242" s="10"/>
      <c r="AL242" s="10"/>
      <c r="AM242" s="10"/>
      <c r="AN242" s="10"/>
      <c r="AO242" s="10"/>
      <c r="AP242" s="10"/>
      <c r="AQ242" s="10"/>
      <c r="AR242" s="10"/>
      <c r="AS242" s="10"/>
      <c r="AT242" s="10"/>
      <c r="AU242" s="10"/>
      <c r="AV242" s="10"/>
      <c r="AW242" s="10"/>
      <c r="AX242" s="10"/>
      <c r="AY242" s="10"/>
      <c r="AZ242" s="10"/>
      <c r="BA242" s="10"/>
    </row>
    <row r="243" spans="28:53" s="12" customFormat="1" x14ac:dyDescent="0.25">
      <c r="AB243" s="10"/>
      <c r="AC243" s="10"/>
      <c r="AD243" s="10"/>
      <c r="AE243" s="10"/>
      <c r="AF243" s="10"/>
      <c r="AG243" s="10"/>
      <c r="AH243" s="10"/>
      <c r="AI243" s="10"/>
      <c r="AJ243" s="10"/>
      <c r="AK243" s="10"/>
      <c r="AL243" s="10"/>
      <c r="AM243" s="10"/>
      <c r="AN243" s="10"/>
      <c r="AO243" s="10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</row>
    <row r="244" spans="28:53" s="12" customFormat="1" x14ac:dyDescent="0.25">
      <c r="AB244" s="10"/>
      <c r="AC244" s="10"/>
      <c r="AD244" s="10"/>
      <c r="AE244" s="10"/>
      <c r="AF244" s="10"/>
      <c r="AG244" s="10"/>
      <c r="AH244" s="10"/>
      <c r="AI244" s="10"/>
      <c r="AJ244" s="10"/>
      <c r="AK244" s="10"/>
      <c r="AL244" s="10"/>
      <c r="AM244" s="10"/>
      <c r="AN244" s="10"/>
      <c r="AO244" s="10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</row>
    <row r="245" spans="28:53" s="12" customFormat="1" x14ac:dyDescent="0.25">
      <c r="AB245" s="10"/>
      <c r="AC245" s="10"/>
      <c r="AD245" s="10"/>
      <c r="AE245" s="10"/>
      <c r="AF245" s="10"/>
      <c r="AG245" s="10"/>
      <c r="AH245" s="10"/>
      <c r="AI245" s="10"/>
      <c r="AJ245" s="10"/>
      <c r="AK245" s="10"/>
      <c r="AL245" s="10"/>
      <c r="AM245" s="10"/>
      <c r="AN245" s="10"/>
      <c r="AO245" s="10"/>
      <c r="AP245" s="10"/>
      <c r="AQ245" s="10"/>
      <c r="AR245" s="10"/>
      <c r="AS245" s="10"/>
      <c r="AT245" s="10"/>
      <c r="AU245" s="10"/>
      <c r="AV245" s="10"/>
      <c r="AW245" s="10"/>
      <c r="AX245" s="10"/>
      <c r="AY245" s="10"/>
      <c r="AZ245" s="10"/>
      <c r="BA245" s="10"/>
    </row>
    <row r="246" spans="28:53" s="12" customFormat="1" x14ac:dyDescent="0.25">
      <c r="AB246" s="10"/>
      <c r="AC246" s="10"/>
      <c r="AD246" s="10"/>
      <c r="AE246" s="10"/>
      <c r="AF246" s="10"/>
      <c r="AG246" s="10"/>
      <c r="AH246" s="10"/>
      <c r="AI246" s="10"/>
      <c r="AJ246" s="10"/>
      <c r="AK246" s="10"/>
      <c r="AL246" s="10"/>
      <c r="AM246" s="10"/>
      <c r="AN246" s="10"/>
      <c r="AO246" s="10"/>
      <c r="AP246" s="10"/>
      <c r="AQ246" s="10"/>
      <c r="AR246" s="10"/>
      <c r="AS246" s="10"/>
      <c r="AT246" s="10"/>
      <c r="AU246" s="10"/>
      <c r="AV246" s="10"/>
      <c r="AW246" s="10"/>
      <c r="AX246" s="10"/>
      <c r="AY246" s="10"/>
      <c r="AZ246" s="10"/>
      <c r="BA246" s="10"/>
    </row>
    <row r="247" spans="28:53" s="12" customFormat="1" x14ac:dyDescent="0.25">
      <c r="AB247" s="10"/>
      <c r="AC247" s="10"/>
      <c r="AD247" s="10"/>
      <c r="AE247" s="10"/>
      <c r="AF247" s="10"/>
      <c r="AG247" s="10"/>
      <c r="AH247" s="10"/>
      <c r="AI247" s="10"/>
      <c r="AJ247" s="10"/>
      <c r="AK247" s="10"/>
      <c r="AL247" s="10"/>
      <c r="AM247" s="10"/>
      <c r="AN247" s="10"/>
      <c r="AO247" s="10"/>
      <c r="AP247" s="10"/>
      <c r="AQ247" s="10"/>
      <c r="AR247" s="10"/>
      <c r="AS247" s="10"/>
      <c r="AT247" s="10"/>
      <c r="AU247" s="10"/>
      <c r="AV247" s="10"/>
      <c r="AW247" s="10"/>
      <c r="AX247" s="10"/>
      <c r="AY247" s="10"/>
      <c r="AZ247" s="10"/>
      <c r="BA247" s="10"/>
    </row>
    <row r="248" spans="28:53" s="12" customFormat="1" x14ac:dyDescent="0.25">
      <c r="AB248" s="10"/>
      <c r="AC248" s="10"/>
      <c r="AD248" s="10"/>
      <c r="AE248" s="10"/>
      <c r="AF248" s="10"/>
      <c r="AG248" s="10"/>
      <c r="AH248" s="10"/>
      <c r="AI248" s="10"/>
      <c r="AJ248" s="10"/>
      <c r="AK248" s="10"/>
      <c r="AL248" s="10"/>
      <c r="AM248" s="10"/>
      <c r="AN248" s="10"/>
      <c r="AO248" s="10"/>
      <c r="AP248" s="10"/>
      <c r="AQ248" s="10"/>
      <c r="AR248" s="10"/>
      <c r="AS248" s="10"/>
      <c r="AT248" s="10"/>
      <c r="AU248" s="10"/>
      <c r="AV248" s="10"/>
      <c r="AW248" s="10"/>
      <c r="AX248" s="10"/>
      <c r="AY248" s="10"/>
      <c r="AZ248" s="10"/>
      <c r="BA248" s="10"/>
    </row>
    <row r="249" spans="28:53" s="12" customFormat="1" x14ac:dyDescent="0.25">
      <c r="AB249" s="10"/>
      <c r="AC249" s="10"/>
      <c r="AD249" s="10"/>
      <c r="AE249" s="10"/>
      <c r="AF249" s="10"/>
      <c r="AG249" s="10"/>
      <c r="AH249" s="10"/>
      <c r="AI249" s="10"/>
      <c r="AJ249" s="10"/>
      <c r="AK249" s="10"/>
      <c r="AL249" s="10"/>
      <c r="AM249" s="10"/>
      <c r="AN249" s="10"/>
      <c r="AO249" s="10"/>
      <c r="AP249" s="10"/>
      <c r="AQ249" s="10"/>
      <c r="AR249" s="10"/>
      <c r="AS249" s="10"/>
      <c r="AT249" s="10"/>
      <c r="AU249" s="10"/>
      <c r="AV249" s="10"/>
      <c r="AW249" s="10"/>
      <c r="AX249" s="10"/>
      <c r="AY249" s="10"/>
      <c r="AZ249" s="10"/>
      <c r="BA249" s="10"/>
    </row>
    <row r="250" spans="28:53" s="12" customFormat="1" x14ac:dyDescent="0.25">
      <c r="AB250" s="10"/>
      <c r="AC250" s="10"/>
      <c r="AD250" s="10"/>
      <c r="AE250" s="10"/>
      <c r="AF250" s="10"/>
      <c r="AG250" s="10"/>
      <c r="AH250" s="10"/>
      <c r="AI250" s="10"/>
      <c r="AJ250" s="10"/>
      <c r="AK250" s="10"/>
      <c r="AL250" s="10"/>
      <c r="AM250" s="10"/>
      <c r="AN250" s="10"/>
      <c r="AO250" s="10"/>
      <c r="AP250" s="10"/>
      <c r="AQ250" s="10"/>
      <c r="AR250" s="10"/>
      <c r="AS250" s="10"/>
      <c r="AT250" s="10"/>
      <c r="AU250" s="10"/>
      <c r="AV250" s="10"/>
      <c r="AW250" s="10"/>
      <c r="AX250" s="10"/>
      <c r="AY250" s="10"/>
      <c r="AZ250" s="10"/>
      <c r="BA250" s="10"/>
    </row>
    <row r="251" spans="28:53" s="12" customFormat="1" x14ac:dyDescent="0.25">
      <c r="AB251" s="10"/>
      <c r="AC251" s="10"/>
      <c r="AD251" s="10"/>
      <c r="AE251" s="10"/>
      <c r="AF251" s="10"/>
      <c r="AG251" s="10"/>
      <c r="AH251" s="10"/>
      <c r="AI251" s="10"/>
      <c r="AJ251" s="10"/>
      <c r="AK251" s="10"/>
      <c r="AL251" s="10"/>
      <c r="AM251" s="10"/>
      <c r="AN251" s="10"/>
      <c r="AO251" s="10"/>
      <c r="AP251" s="10"/>
      <c r="AQ251" s="10"/>
      <c r="AR251" s="10"/>
      <c r="AS251" s="10"/>
      <c r="AT251" s="10"/>
      <c r="AU251" s="10"/>
      <c r="AV251" s="10"/>
      <c r="AW251" s="10"/>
      <c r="AX251" s="10"/>
      <c r="AY251" s="10"/>
      <c r="AZ251" s="10"/>
      <c r="BA251" s="10"/>
    </row>
    <row r="252" spans="28:53" s="12" customFormat="1" x14ac:dyDescent="0.25">
      <c r="AB252" s="10"/>
      <c r="AC252" s="10"/>
      <c r="AD252" s="10"/>
      <c r="AE252" s="10"/>
      <c r="AF252" s="10"/>
      <c r="AG252" s="10"/>
      <c r="AH252" s="10"/>
      <c r="AI252" s="10"/>
      <c r="AJ252" s="10"/>
      <c r="AK252" s="10"/>
      <c r="AL252" s="10"/>
      <c r="AM252" s="10"/>
      <c r="AN252" s="10"/>
      <c r="AO252" s="10"/>
      <c r="AP252" s="10"/>
      <c r="AQ252" s="10"/>
      <c r="AR252" s="10"/>
      <c r="AS252" s="10"/>
      <c r="AT252" s="10"/>
      <c r="AU252" s="10"/>
      <c r="AV252" s="10"/>
      <c r="AW252" s="10"/>
      <c r="AX252" s="10"/>
      <c r="AY252" s="10"/>
      <c r="AZ252" s="10"/>
      <c r="BA252" s="10"/>
    </row>
    <row r="253" spans="28:53" s="12" customFormat="1" x14ac:dyDescent="0.25">
      <c r="AB253" s="10"/>
      <c r="AC253" s="10"/>
      <c r="AD253" s="10"/>
      <c r="AE253" s="10"/>
      <c r="AF253" s="10"/>
      <c r="AG253" s="10"/>
      <c r="AH253" s="10"/>
      <c r="AI253" s="10"/>
      <c r="AJ253" s="10"/>
      <c r="AK253" s="10"/>
      <c r="AL253" s="10"/>
      <c r="AM253" s="10"/>
      <c r="AN253" s="10"/>
      <c r="AO253" s="10"/>
      <c r="AP253" s="10"/>
      <c r="AQ253" s="10"/>
      <c r="AR253" s="10"/>
      <c r="AS253" s="10"/>
      <c r="AT253" s="10"/>
      <c r="AU253" s="10"/>
      <c r="AV253" s="10"/>
      <c r="AW253" s="10"/>
      <c r="AX253" s="10"/>
      <c r="AY253" s="10"/>
      <c r="AZ253" s="10"/>
      <c r="BA253" s="10"/>
    </row>
    <row r="254" spans="28:53" s="12" customFormat="1" x14ac:dyDescent="0.25">
      <c r="AB254" s="10"/>
      <c r="AC254" s="10"/>
      <c r="AD254" s="10"/>
      <c r="AE254" s="10"/>
      <c r="AF254" s="10"/>
      <c r="AG254" s="10"/>
      <c r="AH254" s="10"/>
      <c r="AI254" s="10"/>
      <c r="AJ254" s="10"/>
      <c r="AK254" s="10"/>
      <c r="AL254" s="10"/>
      <c r="AM254" s="10"/>
      <c r="AN254" s="10"/>
      <c r="AO254" s="10"/>
      <c r="AP254" s="10"/>
      <c r="AQ254" s="10"/>
      <c r="AR254" s="10"/>
      <c r="AS254" s="10"/>
      <c r="AT254" s="10"/>
      <c r="AU254" s="10"/>
      <c r="AV254" s="10"/>
      <c r="AW254" s="10"/>
      <c r="AX254" s="10"/>
      <c r="AY254" s="10"/>
      <c r="AZ254" s="10"/>
      <c r="BA254" s="10"/>
    </row>
    <row r="255" spans="28:53" s="12" customFormat="1" x14ac:dyDescent="0.25">
      <c r="AB255" s="10"/>
      <c r="AC255" s="10"/>
      <c r="AD255" s="10"/>
      <c r="AE255" s="10"/>
      <c r="AF255" s="10"/>
      <c r="AG255" s="10"/>
      <c r="AH255" s="10"/>
      <c r="AI255" s="10"/>
      <c r="AJ255" s="10"/>
      <c r="AK255" s="10"/>
      <c r="AL255" s="10"/>
      <c r="AM255" s="10"/>
      <c r="AN255" s="10"/>
      <c r="AO255" s="10"/>
      <c r="AP255" s="10"/>
      <c r="AQ255" s="10"/>
      <c r="AR255" s="10"/>
      <c r="AS255" s="10"/>
      <c r="AT255" s="10"/>
      <c r="AU255" s="10"/>
      <c r="AV255" s="10"/>
      <c r="AW255" s="10"/>
      <c r="AX255" s="10"/>
      <c r="AY255" s="10"/>
      <c r="AZ255" s="10"/>
      <c r="BA255" s="10"/>
    </row>
    <row r="256" spans="28:53" s="12" customFormat="1" x14ac:dyDescent="0.25">
      <c r="AB256" s="10"/>
      <c r="AC256" s="10"/>
      <c r="AD256" s="10"/>
      <c r="AE256" s="10"/>
      <c r="AF256" s="10"/>
      <c r="AG256" s="10"/>
      <c r="AH256" s="10"/>
      <c r="AI256" s="10"/>
      <c r="AJ256" s="10"/>
      <c r="AK256" s="10"/>
      <c r="AL256" s="10"/>
      <c r="AM256" s="10"/>
      <c r="AN256" s="10"/>
      <c r="AO256" s="10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</row>
    <row r="257" spans="28:53" s="12" customFormat="1" x14ac:dyDescent="0.25">
      <c r="AB257" s="10"/>
      <c r="AC257" s="10"/>
      <c r="AD257" s="10"/>
      <c r="AE257" s="10"/>
      <c r="AF257" s="10"/>
      <c r="AG257" s="10"/>
      <c r="AH257" s="10"/>
      <c r="AI257" s="10"/>
      <c r="AJ257" s="10"/>
      <c r="AK257" s="10"/>
      <c r="AL257" s="10"/>
      <c r="AM257" s="10"/>
      <c r="AN257" s="10"/>
      <c r="AO257" s="10"/>
      <c r="AP257" s="10"/>
      <c r="AQ257" s="10"/>
      <c r="AR257" s="10"/>
      <c r="AS257" s="10"/>
      <c r="AT257" s="10"/>
      <c r="AU257" s="10"/>
      <c r="AV257" s="10"/>
      <c r="AW257" s="10"/>
      <c r="AX257" s="10"/>
      <c r="AY257" s="10"/>
      <c r="AZ257" s="10"/>
      <c r="BA257" s="10"/>
    </row>
    <row r="258" spans="28:53" s="12" customFormat="1" x14ac:dyDescent="0.25">
      <c r="AB258" s="10"/>
      <c r="AC258" s="10"/>
      <c r="AD258" s="10"/>
      <c r="AE258" s="10"/>
      <c r="AF258" s="10"/>
      <c r="AG258" s="10"/>
      <c r="AH258" s="10"/>
      <c r="AI258" s="10"/>
      <c r="AJ258" s="10"/>
      <c r="AK258" s="10"/>
      <c r="AL258" s="10"/>
      <c r="AM258" s="10"/>
      <c r="AN258" s="10"/>
      <c r="AO258" s="10"/>
      <c r="AP258" s="10"/>
      <c r="AQ258" s="10"/>
      <c r="AR258" s="10"/>
      <c r="AS258" s="10"/>
      <c r="AT258" s="10"/>
      <c r="AU258" s="10"/>
      <c r="AV258" s="10"/>
      <c r="AW258" s="10"/>
      <c r="AX258" s="10"/>
      <c r="AY258" s="10"/>
      <c r="AZ258" s="10"/>
      <c r="BA258" s="10"/>
    </row>
    <row r="259" spans="28:53" s="12" customFormat="1" x14ac:dyDescent="0.25">
      <c r="AB259" s="10"/>
      <c r="AC259" s="10"/>
      <c r="AD259" s="10"/>
      <c r="AE259" s="10"/>
      <c r="AF259" s="10"/>
      <c r="AG259" s="10"/>
      <c r="AH259" s="10"/>
      <c r="AI259" s="10"/>
      <c r="AJ259" s="10"/>
      <c r="AK259" s="10"/>
      <c r="AL259" s="10"/>
      <c r="AM259" s="10"/>
      <c r="AN259" s="10"/>
      <c r="AO259" s="10"/>
      <c r="AP259" s="10"/>
      <c r="AQ259" s="10"/>
      <c r="AR259" s="10"/>
      <c r="AS259" s="10"/>
      <c r="AT259" s="10"/>
      <c r="AU259" s="10"/>
      <c r="AV259" s="10"/>
      <c r="AW259" s="10"/>
      <c r="AX259" s="10"/>
      <c r="AY259" s="10"/>
      <c r="AZ259" s="10"/>
      <c r="BA259" s="10"/>
    </row>
    <row r="260" spans="28:53" s="12" customFormat="1" x14ac:dyDescent="0.25">
      <c r="AB260" s="10"/>
      <c r="AC260" s="10"/>
      <c r="AD260" s="10"/>
      <c r="AE260" s="10"/>
      <c r="AF260" s="10"/>
      <c r="AG260" s="10"/>
      <c r="AH260" s="10"/>
      <c r="AI260" s="10"/>
      <c r="AJ260" s="10"/>
      <c r="AK260" s="10"/>
      <c r="AL260" s="10"/>
      <c r="AM260" s="10"/>
      <c r="AN260" s="10"/>
      <c r="AO260" s="10"/>
      <c r="AP260" s="10"/>
      <c r="AQ260" s="10"/>
      <c r="AR260" s="10"/>
      <c r="AS260" s="10"/>
      <c r="AT260" s="10"/>
      <c r="AU260" s="10"/>
      <c r="AV260" s="10"/>
      <c r="AW260" s="10"/>
      <c r="AX260" s="10"/>
      <c r="AY260" s="10"/>
      <c r="AZ260" s="10"/>
      <c r="BA260" s="10"/>
    </row>
    <row r="261" spans="28:53" s="12" customFormat="1" x14ac:dyDescent="0.25">
      <c r="AB261" s="10"/>
      <c r="AC261" s="10"/>
      <c r="AD261" s="10"/>
      <c r="AE261" s="10"/>
      <c r="AF261" s="10"/>
      <c r="AG261" s="10"/>
      <c r="AH261" s="10"/>
      <c r="AI261" s="10"/>
      <c r="AJ261" s="10"/>
      <c r="AK261" s="10"/>
      <c r="AL261" s="10"/>
      <c r="AM261" s="10"/>
      <c r="AN261" s="10"/>
      <c r="AO261" s="10"/>
      <c r="AP261" s="10"/>
      <c r="AQ261" s="10"/>
      <c r="AR261" s="10"/>
      <c r="AS261" s="10"/>
      <c r="AT261" s="10"/>
      <c r="AU261" s="10"/>
      <c r="AV261" s="10"/>
      <c r="AW261" s="10"/>
      <c r="AX261" s="10"/>
      <c r="AY261" s="10"/>
      <c r="AZ261" s="10"/>
      <c r="BA261" s="10"/>
    </row>
    <row r="262" spans="28:53" s="12" customFormat="1" x14ac:dyDescent="0.25">
      <c r="AB262" s="10"/>
      <c r="AC262" s="10"/>
      <c r="AD262" s="10"/>
      <c r="AE262" s="10"/>
      <c r="AF262" s="10"/>
      <c r="AG262" s="10"/>
      <c r="AH262" s="10"/>
      <c r="AI262" s="10"/>
      <c r="AJ262" s="10"/>
      <c r="AK262" s="10"/>
      <c r="AL262" s="10"/>
      <c r="AM262" s="10"/>
      <c r="AN262" s="10"/>
      <c r="AO262" s="10"/>
      <c r="AP262" s="10"/>
      <c r="AQ262" s="10"/>
      <c r="AR262" s="10"/>
      <c r="AS262" s="10"/>
      <c r="AT262" s="10"/>
      <c r="AU262" s="10"/>
      <c r="AV262" s="10"/>
      <c r="AW262" s="10"/>
      <c r="AX262" s="10"/>
      <c r="AY262" s="10"/>
      <c r="AZ262" s="10"/>
      <c r="BA262" s="10"/>
    </row>
    <row r="263" spans="28:53" s="12" customFormat="1" x14ac:dyDescent="0.25">
      <c r="AB263" s="10"/>
      <c r="AC263" s="10"/>
      <c r="AD263" s="10"/>
      <c r="AE263" s="10"/>
      <c r="AF263" s="10"/>
      <c r="AG263" s="10"/>
      <c r="AH263" s="10"/>
      <c r="AI263" s="10"/>
      <c r="AJ263" s="10"/>
      <c r="AK263" s="10"/>
      <c r="AL263" s="10"/>
      <c r="AM263" s="10"/>
      <c r="AN263" s="10"/>
      <c r="AO263" s="10"/>
      <c r="AP263" s="10"/>
      <c r="AQ263" s="10"/>
      <c r="AR263" s="10"/>
      <c r="AS263" s="10"/>
      <c r="AT263" s="10"/>
      <c r="AU263" s="10"/>
      <c r="AV263" s="10"/>
      <c r="AW263" s="10"/>
      <c r="AX263" s="10"/>
      <c r="AY263" s="10"/>
      <c r="AZ263" s="10"/>
      <c r="BA263" s="10"/>
    </row>
    <row r="264" spans="28:53" s="12" customFormat="1" x14ac:dyDescent="0.25">
      <c r="AB264" s="10"/>
      <c r="AC264" s="10"/>
      <c r="AD264" s="10"/>
      <c r="AE264" s="10"/>
      <c r="AF264" s="10"/>
      <c r="AG264" s="10"/>
      <c r="AH264" s="10"/>
      <c r="AI264" s="10"/>
      <c r="AJ264" s="10"/>
      <c r="AK264" s="10"/>
      <c r="AL264" s="10"/>
      <c r="AM264" s="10"/>
      <c r="AN264" s="10"/>
      <c r="AO264" s="10"/>
      <c r="AP264" s="10"/>
      <c r="AQ264" s="10"/>
      <c r="AR264" s="10"/>
      <c r="AS264" s="10"/>
      <c r="AT264" s="10"/>
      <c r="AU264" s="10"/>
      <c r="AV264" s="10"/>
      <c r="AW264" s="10"/>
      <c r="AX264" s="10"/>
      <c r="AY264" s="10"/>
      <c r="AZ264" s="10"/>
      <c r="BA264" s="10"/>
    </row>
    <row r="265" spans="28:53" s="12" customFormat="1" x14ac:dyDescent="0.25">
      <c r="AB265" s="10"/>
      <c r="AC265" s="10"/>
      <c r="AD265" s="10"/>
      <c r="AE265" s="10"/>
      <c r="AF265" s="10"/>
      <c r="AG265" s="10"/>
      <c r="AH265" s="10"/>
      <c r="AI265" s="10"/>
      <c r="AJ265" s="10"/>
      <c r="AK265" s="10"/>
      <c r="AL265" s="10"/>
      <c r="AM265" s="10"/>
      <c r="AN265" s="10"/>
      <c r="AO265" s="10"/>
      <c r="AP265" s="10"/>
      <c r="AQ265" s="10"/>
      <c r="AR265" s="10"/>
      <c r="AS265" s="10"/>
      <c r="AT265" s="10"/>
      <c r="AU265" s="10"/>
      <c r="AV265" s="10"/>
      <c r="AW265" s="10"/>
      <c r="AX265" s="10"/>
      <c r="AY265" s="10"/>
      <c r="AZ265" s="10"/>
      <c r="BA265" s="10"/>
    </row>
    <row r="266" spans="28:53" s="12" customFormat="1" x14ac:dyDescent="0.25">
      <c r="AB266" s="10"/>
      <c r="AC266" s="10"/>
      <c r="AD266" s="10"/>
      <c r="AE266" s="10"/>
      <c r="AF266" s="10"/>
      <c r="AG266" s="10"/>
      <c r="AH266" s="10"/>
      <c r="AI266" s="10"/>
      <c r="AJ266" s="10"/>
      <c r="AK266" s="10"/>
      <c r="AL266" s="10"/>
      <c r="AM266" s="10"/>
      <c r="AN266" s="10"/>
      <c r="AO266" s="10"/>
      <c r="AP266" s="10"/>
      <c r="AQ266" s="10"/>
      <c r="AR266" s="10"/>
      <c r="AS266" s="10"/>
      <c r="AT266" s="10"/>
      <c r="AU266" s="10"/>
      <c r="AV266" s="10"/>
      <c r="AW266" s="10"/>
      <c r="AX266" s="10"/>
      <c r="AY266" s="10"/>
      <c r="AZ266" s="10"/>
      <c r="BA266" s="10"/>
    </row>
    <row r="267" spans="28:53" s="12" customFormat="1" x14ac:dyDescent="0.25">
      <c r="AB267" s="10"/>
      <c r="AC267" s="10"/>
      <c r="AD267" s="10"/>
      <c r="AE267" s="10"/>
      <c r="AF267" s="10"/>
      <c r="AG267" s="10"/>
      <c r="AH267" s="10"/>
      <c r="AI267" s="10"/>
      <c r="AJ267" s="10"/>
      <c r="AK267" s="10"/>
      <c r="AL267" s="10"/>
      <c r="AM267" s="10"/>
      <c r="AN267" s="10"/>
      <c r="AO267" s="10"/>
      <c r="AP267" s="10"/>
      <c r="AQ267" s="10"/>
      <c r="AR267" s="10"/>
      <c r="AS267" s="10"/>
      <c r="AT267" s="10"/>
      <c r="AU267" s="10"/>
      <c r="AV267" s="10"/>
      <c r="AW267" s="10"/>
      <c r="AX267" s="10"/>
      <c r="AY267" s="10"/>
      <c r="AZ267" s="10"/>
      <c r="BA267" s="10"/>
    </row>
    <row r="268" spans="28:53" s="12" customFormat="1" x14ac:dyDescent="0.25">
      <c r="AB268" s="10"/>
      <c r="AC268" s="10"/>
      <c r="AD268" s="10"/>
      <c r="AE268" s="10"/>
      <c r="AF268" s="10"/>
      <c r="AG268" s="10"/>
      <c r="AH268" s="10"/>
      <c r="AI268" s="10"/>
      <c r="AJ268" s="10"/>
      <c r="AK268" s="10"/>
      <c r="AL268" s="10"/>
      <c r="AM268" s="10"/>
      <c r="AN268" s="10"/>
      <c r="AO268" s="10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</row>
    <row r="269" spans="28:53" s="12" customFormat="1" x14ac:dyDescent="0.25">
      <c r="AB269" s="10"/>
      <c r="AC269" s="10"/>
      <c r="AD269" s="10"/>
      <c r="AE269" s="10"/>
      <c r="AF269" s="10"/>
      <c r="AG269" s="10"/>
      <c r="AH269" s="10"/>
      <c r="AI269" s="10"/>
      <c r="AJ269" s="10"/>
      <c r="AK269" s="10"/>
      <c r="AL269" s="10"/>
      <c r="AM269" s="10"/>
      <c r="AN269" s="10"/>
      <c r="AO269" s="10"/>
      <c r="AP269" s="10"/>
      <c r="AQ269" s="10"/>
      <c r="AR269" s="10"/>
      <c r="AS269" s="10"/>
      <c r="AT269" s="10"/>
      <c r="AU269" s="10"/>
      <c r="AV269" s="10"/>
      <c r="AW269" s="10"/>
      <c r="AX269" s="10"/>
      <c r="AY269" s="10"/>
      <c r="AZ269" s="10"/>
      <c r="BA269" s="10"/>
    </row>
    <row r="270" spans="28:53" s="12" customFormat="1" x14ac:dyDescent="0.25">
      <c r="AB270" s="10"/>
      <c r="AC270" s="10"/>
      <c r="AD270" s="10"/>
      <c r="AE270" s="10"/>
      <c r="AF270" s="10"/>
      <c r="AG270" s="10"/>
      <c r="AH270" s="10"/>
      <c r="AI270" s="10"/>
      <c r="AJ270" s="10"/>
      <c r="AK270" s="10"/>
      <c r="AL270" s="10"/>
      <c r="AM270" s="10"/>
      <c r="AN270" s="10"/>
      <c r="AO270" s="10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</row>
    <row r="271" spans="28:53" s="12" customFormat="1" x14ac:dyDescent="0.25">
      <c r="AB271" s="10"/>
      <c r="AC271" s="10"/>
      <c r="AD271" s="10"/>
      <c r="AE271" s="10"/>
      <c r="AF271" s="10"/>
      <c r="AG271" s="10"/>
      <c r="AH271" s="10"/>
      <c r="AI271" s="10"/>
      <c r="AJ271" s="10"/>
      <c r="AK271" s="10"/>
      <c r="AL271" s="10"/>
      <c r="AM271" s="10"/>
      <c r="AN271" s="10"/>
      <c r="AO271" s="10"/>
      <c r="AP271" s="10"/>
      <c r="AQ271" s="10"/>
      <c r="AR271" s="10"/>
      <c r="AS271" s="10"/>
      <c r="AT271" s="10"/>
      <c r="AU271" s="10"/>
      <c r="AV271" s="10"/>
      <c r="AW271" s="10"/>
      <c r="AX271" s="10"/>
      <c r="AY271" s="10"/>
      <c r="AZ271" s="10"/>
      <c r="BA271" s="10"/>
    </row>
    <row r="272" spans="28:53" s="12" customFormat="1" x14ac:dyDescent="0.25">
      <c r="AB272" s="10"/>
      <c r="AC272" s="10"/>
      <c r="AD272" s="10"/>
      <c r="AE272" s="10"/>
      <c r="AF272" s="10"/>
      <c r="AG272" s="10"/>
      <c r="AH272" s="10"/>
      <c r="AI272" s="10"/>
      <c r="AJ272" s="10"/>
      <c r="AK272" s="10"/>
      <c r="AL272" s="10"/>
      <c r="AM272" s="10"/>
      <c r="AN272" s="10"/>
      <c r="AO272" s="10"/>
      <c r="AP272" s="10"/>
      <c r="AQ272" s="10"/>
      <c r="AR272" s="10"/>
      <c r="AS272" s="10"/>
      <c r="AT272" s="10"/>
      <c r="AU272" s="10"/>
      <c r="AV272" s="10"/>
      <c r="AW272" s="10"/>
      <c r="AX272" s="10"/>
      <c r="AY272" s="10"/>
      <c r="AZ272" s="10"/>
      <c r="BA272" s="10"/>
    </row>
    <row r="273" spans="28:53" s="12" customFormat="1" x14ac:dyDescent="0.25">
      <c r="AB273" s="10"/>
      <c r="AC273" s="10"/>
      <c r="AD273" s="10"/>
      <c r="AE273" s="10"/>
      <c r="AF273" s="10"/>
      <c r="AG273" s="10"/>
      <c r="AH273" s="10"/>
      <c r="AI273" s="10"/>
      <c r="AJ273" s="10"/>
      <c r="AK273" s="10"/>
      <c r="AL273" s="10"/>
      <c r="AM273" s="10"/>
      <c r="AN273" s="10"/>
      <c r="AO273" s="10"/>
      <c r="AP273" s="10"/>
      <c r="AQ273" s="10"/>
      <c r="AR273" s="10"/>
      <c r="AS273" s="10"/>
      <c r="AT273" s="10"/>
      <c r="AU273" s="10"/>
      <c r="AV273" s="10"/>
      <c r="AW273" s="10"/>
      <c r="AX273" s="10"/>
      <c r="AY273" s="10"/>
      <c r="AZ273" s="10"/>
      <c r="BA273" s="10"/>
    </row>
    <row r="274" spans="28:53" s="12" customFormat="1" x14ac:dyDescent="0.25">
      <c r="AB274" s="10"/>
      <c r="AC274" s="10"/>
      <c r="AD274" s="10"/>
      <c r="AE274" s="10"/>
      <c r="AF274" s="10"/>
      <c r="AG274" s="10"/>
      <c r="AH274" s="10"/>
      <c r="AI274" s="10"/>
      <c r="AJ274" s="10"/>
      <c r="AK274" s="10"/>
      <c r="AL274" s="10"/>
      <c r="AM274" s="10"/>
      <c r="AN274" s="10"/>
      <c r="AO274" s="10"/>
      <c r="AP274" s="10"/>
      <c r="AQ274" s="10"/>
      <c r="AR274" s="10"/>
      <c r="AS274" s="10"/>
      <c r="AT274" s="10"/>
      <c r="AU274" s="10"/>
      <c r="AV274" s="10"/>
      <c r="AW274" s="10"/>
      <c r="AX274" s="10"/>
      <c r="AY274" s="10"/>
      <c r="AZ274" s="10"/>
      <c r="BA274" s="10"/>
    </row>
    <row r="275" spans="28:53" s="12" customFormat="1" x14ac:dyDescent="0.25">
      <c r="AB275" s="10"/>
      <c r="AC275" s="10"/>
      <c r="AD275" s="10"/>
      <c r="AE275" s="10"/>
      <c r="AF275" s="10"/>
      <c r="AG275" s="10"/>
      <c r="AH275" s="10"/>
      <c r="AI275" s="10"/>
      <c r="AJ275" s="10"/>
      <c r="AK275" s="10"/>
      <c r="AL275" s="10"/>
      <c r="AM275" s="10"/>
      <c r="AN275" s="10"/>
      <c r="AO275" s="10"/>
      <c r="AP275" s="10"/>
      <c r="AQ275" s="10"/>
      <c r="AR275" s="10"/>
      <c r="AS275" s="10"/>
      <c r="AT275" s="10"/>
      <c r="AU275" s="10"/>
      <c r="AV275" s="10"/>
      <c r="AW275" s="10"/>
      <c r="AX275" s="10"/>
      <c r="AY275" s="10"/>
      <c r="AZ275" s="10"/>
      <c r="BA275" s="10"/>
    </row>
    <row r="276" spans="28:53" s="12" customFormat="1" x14ac:dyDescent="0.25">
      <c r="AB276" s="10"/>
      <c r="AC276" s="10"/>
      <c r="AD276" s="10"/>
      <c r="AE276" s="10"/>
      <c r="AF276" s="10"/>
      <c r="AG276" s="10"/>
      <c r="AH276" s="10"/>
      <c r="AI276" s="10"/>
      <c r="AJ276" s="10"/>
      <c r="AK276" s="10"/>
      <c r="AL276" s="10"/>
      <c r="AM276" s="10"/>
      <c r="AN276" s="10"/>
      <c r="AO276" s="10"/>
      <c r="AP276" s="10"/>
      <c r="AQ276" s="10"/>
      <c r="AR276" s="10"/>
      <c r="AS276" s="10"/>
      <c r="AT276" s="10"/>
      <c r="AU276" s="10"/>
      <c r="AV276" s="10"/>
      <c r="AW276" s="10"/>
      <c r="AX276" s="10"/>
      <c r="AY276" s="10"/>
      <c r="AZ276" s="10"/>
      <c r="BA276" s="10"/>
    </row>
    <row r="277" spans="28:53" s="12" customFormat="1" x14ac:dyDescent="0.25">
      <c r="AB277" s="10"/>
      <c r="AC277" s="10"/>
      <c r="AD277" s="10"/>
      <c r="AE277" s="10"/>
      <c r="AF277" s="10"/>
      <c r="AG277" s="10"/>
      <c r="AH277" s="10"/>
      <c r="AI277" s="10"/>
      <c r="AJ277" s="10"/>
      <c r="AK277" s="10"/>
      <c r="AL277" s="10"/>
      <c r="AM277" s="10"/>
      <c r="AN277" s="10"/>
      <c r="AO277" s="10"/>
      <c r="AP277" s="10"/>
      <c r="AQ277" s="10"/>
      <c r="AR277" s="10"/>
      <c r="AS277" s="10"/>
      <c r="AT277" s="10"/>
      <c r="AU277" s="10"/>
      <c r="AV277" s="10"/>
      <c r="AW277" s="10"/>
      <c r="AX277" s="10"/>
      <c r="AY277" s="10"/>
      <c r="AZ277" s="10"/>
      <c r="BA277" s="10"/>
    </row>
    <row r="278" spans="28:53" s="12" customFormat="1" x14ac:dyDescent="0.25">
      <c r="AB278" s="10"/>
      <c r="AC278" s="10"/>
      <c r="AD278" s="10"/>
      <c r="AE278" s="10"/>
      <c r="AF278" s="10"/>
      <c r="AG278" s="10"/>
      <c r="AH278" s="10"/>
      <c r="AI278" s="10"/>
      <c r="AJ278" s="10"/>
      <c r="AK278" s="10"/>
      <c r="AL278" s="10"/>
      <c r="AM278" s="10"/>
      <c r="AN278" s="10"/>
      <c r="AO278" s="10"/>
      <c r="AP278" s="10"/>
      <c r="AQ278" s="10"/>
      <c r="AR278" s="10"/>
      <c r="AS278" s="10"/>
      <c r="AT278" s="10"/>
      <c r="AU278" s="10"/>
      <c r="AV278" s="10"/>
      <c r="AW278" s="10"/>
      <c r="AX278" s="10"/>
      <c r="AY278" s="10"/>
      <c r="AZ278" s="10"/>
      <c r="BA278" s="10"/>
    </row>
    <row r="279" spans="28:53" s="12" customFormat="1" x14ac:dyDescent="0.25">
      <c r="AB279" s="10"/>
      <c r="AC279" s="10"/>
      <c r="AD279" s="10"/>
      <c r="AE279" s="10"/>
      <c r="AF279" s="10"/>
      <c r="AG279" s="10"/>
      <c r="AH279" s="10"/>
      <c r="AI279" s="10"/>
      <c r="AJ279" s="10"/>
      <c r="AK279" s="10"/>
      <c r="AL279" s="10"/>
      <c r="AM279" s="10"/>
      <c r="AN279" s="10"/>
      <c r="AO279" s="10"/>
      <c r="AP279" s="10"/>
      <c r="AQ279" s="10"/>
      <c r="AR279" s="10"/>
      <c r="AS279" s="10"/>
      <c r="AT279" s="10"/>
      <c r="AU279" s="10"/>
      <c r="AV279" s="10"/>
      <c r="AW279" s="10"/>
      <c r="AX279" s="10"/>
      <c r="AY279" s="10"/>
      <c r="AZ279" s="10"/>
      <c r="BA279" s="10"/>
    </row>
    <row r="280" spans="28:53" s="12" customFormat="1" x14ac:dyDescent="0.25">
      <c r="AB280" s="10"/>
      <c r="AC280" s="10"/>
      <c r="AD280" s="10"/>
      <c r="AE280" s="10"/>
      <c r="AF280" s="10"/>
      <c r="AG280" s="10"/>
      <c r="AH280" s="10"/>
      <c r="AI280" s="10"/>
      <c r="AJ280" s="10"/>
      <c r="AK280" s="10"/>
      <c r="AL280" s="10"/>
      <c r="AM280" s="10"/>
      <c r="AN280" s="10"/>
      <c r="AO280" s="10"/>
      <c r="AP280" s="10"/>
      <c r="AQ280" s="10"/>
      <c r="AR280" s="10"/>
      <c r="AS280" s="10"/>
      <c r="AT280" s="10"/>
      <c r="AU280" s="10"/>
      <c r="AV280" s="10"/>
      <c r="AW280" s="10"/>
      <c r="AX280" s="10"/>
      <c r="AY280" s="10"/>
      <c r="AZ280" s="10"/>
      <c r="BA280" s="10"/>
    </row>
    <row r="281" spans="28:53" s="12" customFormat="1" x14ac:dyDescent="0.25">
      <c r="AB281" s="10"/>
      <c r="AC281" s="10"/>
      <c r="AD281" s="10"/>
      <c r="AE281" s="10"/>
      <c r="AF281" s="10"/>
      <c r="AG281" s="10"/>
      <c r="AH281" s="10"/>
      <c r="AI281" s="10"/>
      <c r="AJ281" s="10"/>
      <c r="AK281" s="10"/>
      <c r="AL281" s="10"/>
      <c r="AM281" s="10"/>
      <c r="AN281" s="10"/>
      <c r="AO281" s="10"/>
      <c r="AP281" s="10"/>
      <c r="AQ281" s="10"/>
      <c r="AR281" s="10"/>
      <c r="AS281" s="10"/>
      <c r="AT281" s="10"/>
      <c r="AU281" s="10"/>
      <c r="AV281" s="10"/>
      <c r="AW281" s="10"/>
      <c r="AX281" s="10"/>
      <c r="AY281" s="10"/>
      <c r="AZ281" s="10"/>
      <c r="BA281" s="10"/>
    </row>
    <row r="282" spans="28:53" s="12" customFormat="1" x14ac:dyDescent="0.25">
      <c r="AB282" s="10"/>
      <c r="AC282" s="10"/>
      <c r="AD282" s="10"/>
      <c r="AE282" s="10"/>
      <c r="AF282" s="10"/>
      <c r="AG282" s="10"/>
      <c r="AH282" s="10"/>
      <c r="AI282" s="10"/>
      <c r="AJ282" s="10"/>
      <c r="AK282" s="10"/>
      <c r="AL282" s="10"/>
      <c r="AM282" s="10"/>
      <c r="AN282" s="10"/>
      <c r="AO282" s="10"/>
      <c r="AP282" s="10"/>
      <c r="AQ282" s="10"/>
      <c r="AR282" s="10"/>
      <c r="AS282" s="10"/>
      <c r="AT282" s="10"/>
      <c r="AU282" s="10"/>
      <c r="AV282" s="10"/>
      <c r="AW282" s="10"/>
      <c r="AX282" s="10"/>
      <c r="AY282" s="10"/>
      <c r="AZ282" s="10"/>
      <c r="BA282" s="10"/>
    </row>
    <row r="283" spans="28:53" s="12" customFormat="1" x14ac:dyDescent="0.25">
      <c r="AB283" s="10"/>
      <c r="AC283" s="10"/>
      <c r="AD283" s="10"/>
      <c r="AE283" s="10"/>
      <c r="AF283" s="10"/>
      <c r="AG283" s="10"/>
      <c r="AH283" s="10"/>
      <c r="AI283" s="10"/>
      <c r="AJ283" s="10"/>
      <c r="AK283" s="10"/>
      <c r="AL283" s="10"/>
      <c r="AM283" s="10"/>
      <c r="AN283" s="10"/>
      <c r="AO283" s="10"/>
      <c r="AP283" s="10"/>
      <c r="AQ283" s="10"/>
      <c r="AR283" s="10"/>
      <c r="AS283" s="10"/>
      <c r="AT283" s="10"/>
      <c r="AU283" s="10"/>
      <c r="AV283" s="10"/>
      <c r="AW283" s="10"/>
      <c r="AX283" s="10"/>
      <c r="AY283" s="10"/>
      <c r="AZ283" s="10"/>
      <c r="BA283" s="10"/>
    </row>
    <row r="284" spans="28:53" s="12" customFormat="1" x14ac:dyDescent="0.25">
      <c r="AB284" s="10"/>
      <c r="AC284" s="10"/>
      <c r="AD284" s="10"/>
      <c r="AE284" s="10"/>
      <c r="AF284" s="10"/>
      <c r="AG284" s="10"/>
      <c r="AH284" s="10"/>
      <c r="AI284" s="10"/>
      <c r="AJ284" s="10"/>
      <c r="AK284" s="10"/>
      <c r="AL284" s="10"/>
      <c r="AM284" s="10"/>
      <c r="AN284" s="10"/>
      <c r="AO284" s="10"/>
      <c r="AP284" s="10"/>
      <c r="AQ284" s="10"/>
      <c r="AR284" s="10"/>
      <c r="AS284" s="10"/>
      <c r="AT284" s="10"/>
      <c r="AU284" s="10"/>
      <c r="AV284" s="10"/>
      <c r="AW284" s="10"/>
      <c r="AX284" s="10"/>
      <c r="AY284" s="10"/>
      <c r="AZ284" s="10"/>
      <c r="BA284" s="10"/>
    </row>
    <row r="285" spans="28:53" s="12" customFormat="1" x14ac:dyDescent="0.25">
      <c r="AB285" s="10"/>
      <c r="AC285" s="10"/>
      <c r="AD285" s="10"/>
      <c r="AE285" s="10"/>
      <c r="AF285" s="10"/>
      <c r="AG285" s="10"/>
      <c r="AH285" s="10"/>
      <c r="AI285" s="10"/>
      <c r="AJ285" s="10"/>
      <c r="AK285" s="10"/>
      <c r="AL285" s="10"/>
      <c r="AM285" s="10"/>
      <c r="AN285" s="10"/>
      <c r="AO285" s="10"/>
      <c r="AP285" s="10"/>
      <c r="AQ285" s="10"/>
      <c r="AR285" s="10"/>
      <c r="AS285" s="10"/>
      <c r="AT285" s="10"/>
      <c r="AU285" s="10"/>
      <c r="AV285" s="10"/>
      <c r="AW285" s="10"/>
      <c r="AX285" s="10"/>
      <c r="AY285" s="10"/>
      <c r="AZ285" s="10"/>
      <c r="BA285" s="10"/>
    </row>
    <row r="286" spans="28:53" s="12" customFormat="1" x14ac:dyDescent="0.25">
      <c r="AB286" s="10"/>
      <c r="AC286" s="10"/>
      <c r="AD286" s="10"/>
      <c r="AE286" s="10"/>
      <c r="AF286" s="10"/>
      <c r="AG286" s="10"/>
      <c r="AH286" s="10"/>
      <c r="AI286" s="10"/>
      <c r="AJ286" s="10"/>
      <c r="AK286" s="10"/>
      <c r="AL286" s="10"/>
      <c r="AM286" s="10"/>
      <c r="AN286" s="10"/>
      <c r="AO286" s="10"/>
      <c r="AP286" s="10"/>
      <c r="AQ286" s="10"/>
      <c r="AR286" s="10"/>
      <c r="AS286" s="10"/>
      <c r="AT286" s="10"/>
      <c r="AU286" s="10"/>
      <c r="AV286" s="10"/>
      <c r="AW286" s="10"/>
      <c r="AX286" s="10"/>
      <c r="AY286" s="10"/>
      <c r="AZ286" s="10"/>
      <c r="BA286" s="10"/>
    </row>
    <row r="287" spans="28:53" s="12" customFormat="1" x14ac:dyDescent="0.25">
      <c r="AB287" s="10"/>
      <c r="AC287" s="10"/>
      <c r="AD287" s="10"/>
      <c r="AE287" s="10"/>
      <c r="AF287" s="10"/>
      <c r="AG287" s="10"/>
      <c r="AH287" s="10"/>
      <c r="AI287" s="10"/>
      <c r="AJ287" s="10"/>
      <c r="AK287" s="10"/>
      <c r="AL287" s="10"/>
      <c r="AM287" s="10"/>
      <c r="AN287" s="10"/>
      <c r="AO287" s="10"/>
      <c r="AP287" s="10"/>
      <c r="AQ287" s="10"/>
      <c r="AR287" s="10"/>
      <c r="AS287" s="10"/>
      <c r="AT287" s="10"/>
      <c r="AU287" s="10"/>
      <c r="AV287" s="10"/>
      <c r="AW287" s="10"/>
      <c r="AX287" s="10"/>
      <c r="AY287" s="10"/>
      <c r="AZ287" s="10"/>
      <c r="BA287" s="10"/>
    </row>
    <row r="288" spans="28:53" s="12" customFormat="1" x14ac:dyDescent="0.25">
      <c r="AB288" s="10"/>
      <c r="AC288" s="10"/>
      <c r="AD288" s="10"/>
      <c r="AE288" s="10"/>
      <c r="AF288" s="10"/>
      <c r="AG288" s="10"/>
      <c r="AH288" s="10"/>
      <c r="AI288" s="10"/>
      <c r="AJ288" s="10"/>
      <c r="AK288" s="10"/>
      <c r="AL288" s="10"/>
      <c r="AM288" s="10"/>
      <c r="AN288" s="10"/>
      <c r="AO288" s="10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</row>
    <row r="289" spans="28:53" s="12" customFormat="1" x14ac:dyDescent="0.25">
      <c r="AB289" s="10"/>
      <c r="AC289" s="10"/>
      <c r="AD289" s="10"/>
      <c r="AE289" s="10"/>
      <c r="AF289" s="10"/>
      <c r="AG289" s="10"/>
      <c r="AH289" s="10"/>
      <c r="AI289" s="10"/>
      <c r="AJ289" s="10"/>
      <c r="AK289" s="10"/>
      <c r="AL289" s="10"/>
      <c r="AM289" s="10"/>
      <c r="AN289" s="10"/>
      <c r="AO289" s="10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</row>
    <row r="290" spans="28:53" s="12" customFormat="1" x14ac:dyDescent="0.25">
      <c r="AB290" s="10"/>
      <c r="AC290" s="10"/>
      <c r="AD290" s="10"/>
      <c r="AE290" s="10"/>
      <c r="AF290" s="10"/>
      <c r="AG290" s="10"/>
      <c r="AH290" s="10"/>
      <c r="AI290" s="10"/>
      <c r="AJ290" s="10"/>
      <c r="AK290" s="10"/>
      <c r="AL290" s="10"/>
      <c r="AM290" s="10"/>
      <c r="AN290" s="10"/>
      <c r="AO290" s="10"/>
      <c r="AP290" s="10"/>
      <c r="AQ290" s="10"/>
      <c r="AR290" s="10"/>
      <c r="AS290" s="10"/>
      <c r="AT290" s="10"/>
      <c r="AU290" s="10"/>
      <c r="AV290" s="10"/>
      <c r="AW290" s="10"/>
      <c r="AX290" s="10"/>
      <c r="AY290" s="10"/>
      <c r="AZ290" s="10"/>
      <c r="BA290" s="10"/>
    </row>
    <row r="291" spans="28:53" s="12" customFormat="1" x14ac:dyDescent="0.25">
      <c r="AB291" s="10"/>
      <c r="AC291" s="10"/>
      <c r="AD291" s="10"/>
      <c r="AE291" s="10"/>
      <c r="AF291" s="10"/>
      <c r="AG291" s="10"/>
      <c r="AH291" s="10"/>
      <c r="AI291" s="10"/>
      <c r="AJ291" s="10"/>
      <c r="AK291" s="10"/>
      <c r="AL291" s="10"/>
      <c r="AM291" s="10"/>
      <c r="AN291" s="10"/>
      <c r="AO291" s="10"/>
      <c r="AP291" s="10"/>
      <c r="AQ291" s="10"/>
      <c r="AR291" s="10"/>
      <c r="AS291" s="10"/>
      <c r="AT291" s="10"/>
      <c r="AU291" s="10"/>
      <c r="AV291" s="10"/>
      <c r="AW291" s="10"/>
      <c r="AX291" s="10"/>
      <c r="AY291" s="10"/>
      <c r="AZ291" s="10"/>
      <c r="BA291" s="10"/>
    </row>
    <row r="292" spans="28:53" s="12" customFormat="1" x14ac:dyDescent="0.25">
      <c r="AB292" s="10"/>
      <c r="AC292" s="10"/>
      <c r="AD292" s="10"/>
      <c r="AE292" s="10"/>
      <c r="AF292" s="10"/>
      <c r="AG292" s="10"/>
      <c r="AH292" s="10"/>
      <c r="AI292" s="10"/>
      <c r="AJ292" s="10"/>
      <c r="AK292" s="10"/>
      <c r="AL292" s="10"/>
      <c r="AM292" s="10"/>
      <c r="AN292" s="10"/>
      <c r="AO292" s="10"/>
      <c r="AP292" s="10"/>
      <c r="AQ292" s="10"/>
      <c r="AR292" s="10"/>
      <c r="AS292" s="10"/>
      <c r="AT292" s="10"/>
      <c r="AU292" s="10"/>
      <c r="AV292" s="10"/>
      <c r="AW292" s="10"/>
      <c r="AX292" s="10"/>
      <c r="AY292" s="10"/>
      <c r="AZ292" s="10"/>
      <c r="BA292" s="10"/>
    </row>
    <row r="293" spans="28:53" s="12" customFormat="1" x14ac:dyDescent="0.25">
      <c r="AB293" s="10"/>
      <c r="AC293" s="10"/>
      <c r="AD293" s="10"/>
      <c r="AE293" s="10"/>
      <c r="AF293" s="10"/>
      <c r="AG293" s="10"/>
      <c r="AH293" s="10"/>
      <c r="AI293" s="10"/>
      <c r="AJ293" s="10"/>
      <c r="AK293" s="10"/>
      <c r="AL293" s="10"/>
      <c r="AM293" s="10"/>
      <c r="AN293" s="10"/>
      <c r="AO293" s="10"/>
      <c r="AP293" s="10"/>
      <c r="AQ293" s="10"/>
      <c r="AR293" s="10"/>
      <c r="AS293" s="10"/>
      <c r="AT293" s="10"/>
      <c r="AU293" s="10"/>
      <c r="AV293" s="10"/>
      <c r="AW293" s="10"/>
      <c r="AX293" s="10"/>
      <c r="AY293" s="10"/>
      <c r="AZ293" s="10"/>
      <c r="BA293" s="10"/>
    </row>
    <row r="294" spans="28:53" s="12" customFormat="1" x14ac:dyDescent="0.25">
      <c r="AB294" s="10"/>
      <c r="AC294" s="10"/>
      <c r="AD294" s="10"/>
      <c r="AE294" s="10"/>
      <c r="AF294" s="10"/>
      <c r="AG294" s="10"/>
      <c r="AH294" s="10"/>
      <c r="AI294" s="10"/>
      <c r="AJ294" s="10"/>
      <c r="AK294" s="10"/>
      <c r="AL294" s="10"/>
      <c r="AM294" s="10"/>
      <c r="AN294" s="10"/>
      <c r="AO294" s="10"/>
      <c r="AP294" s="10"/>
      <c r="AQ294" s="10"/>
      <c r="AR294" s="10"/>
      <c r="AS294" s="10"/>
      <c r="AT294" s="10"/>
      <c r="AU294" s="10"/>
      <c r="AV294" s="10"/>
      <c r="AW294" s="10"/>
      <c r="AX294" s="10"/>
      <c r="AY294" s="10"/>
      <c r="AZ294" s="10"/>
      <c r="BA294" s="10"/>
    </row>
    <row r="295" spans="28:53" s="12" customFormat="1" x14ac:dyDescent="0.25">
      <c r="AB295" s="10"/>
      <c r="AC295" s="10"/>
      <c r="AD295" s="10"/>
      <c r="AE295" s="10"/>
      <c r="AF295" s="10"/>
      <c r="AG295" s="10"/>
      <c r="AH295" s="10"/>
      <c r="AI295" s="10"/>
      <c r="AJ295" s="10"/>
      <c r="AK295" s="10"/>
      <c r="AL295" s="10"/>
      <c r="AM295" s="10"/>
      <c r="AN295" s="10"/>
      <c r="AO295" s="10"/>
      <c r="AP295" s="10"/>
      <c r="AQ295" s="10"/>
      <c r="AR295" s="10"/>
      <c r="AS295" s="10"/>
      <c r="AT295" s="10"/>
      <c r="AU295" s="10"/>
      <c r="AV295" s="10"/>
      <c r="AW295" s="10"/>
      <c r="AX295" s="10"/>
      <c r="AY295" s="10"/>
      <c r="AZ295" s="10"/>
      <c r="BA295" s="10"/>
    </row>
    <row r="296" spans="28:53" s="12" customFormat="1" x14ac:dyDescent="0.25">
      <c r="AB296" s="10"/>
      <c r="AC296" s="10"/>
      <c r="AD296" s="10"/>
      <c r="AE296" s="10"/>
      <c r="AF296" s="10"/>
      <c r="AG296" s="10"/>
      <c r="AH296" s="10"/>
      <c r="AI296" s="10"/>
      <c r="AJ296" s="10"/>
      <c r="AK296" s="10"/>
      <c r="AL296" s="10"/>
      <c r="AM296" s="10"/>
      <c r="AN296" s="10"/>
      <c r="AO296" s="10"/>
      <c r="AP296" s="10"/>
      <c r="AQ296" s="10"/>
      <c r="AR296" s="10"/>
      <c r="AS296" s="10"/>
      <c r="AT296" s="10"/>
      <c r="AU296" s="10"/>
      <c r="AV296" s="10"/>
      <c r="AW296" s="10"/>
      <c r="AX296" s="10"/>
      <c r="AY296" s="10"/>
      <c r="AZ296" s="10"/>
      <c r="BA296" s="10"/>
    </row>
    <row r="297" spans="28:53" s="12" customFormat="1" x14ac:dyDescent="0.25">
      <c r="AB297" s="10"/>
      <c r="AC297" s="10"/>
      <c r="AD297" s="10"/>
      <c r="AE297" s="10"/>
      <c r="AF297" s="10"/>
      <c r="AG297" s="10"/>
      <c r="AH297" s="10"/>
      <c r="AI297" s="10"/>
      <c r="AJ297" s="10"/>
      <c r="AK297" s="10"/>
      <c r="AL297" s="10"/>
      <c r="AM297" s="10"/>
      <c r="AN297" s="10"/>
      <c r="AO297" s="10"/>
      <c r="AP297" s="10"/>
      <c r="AQ297" s="10"/>
      <c r="AR297" s="10"/>
      <c r="AS297" s="10"/>
      <c r="AT297" s="10"/>
      <c r="AU297" s="10"/>
      <c r="AV297" s="10"/>
      <c r="AW297" s="10"/>
      <c r="AX297" s="10"/>
      <c r="AY297" s="10"/>
      <c r="AZ297" s="10"/>
      <c r="BA297" s="10"/>
    </row>
    <row r="298" spans="28:53" s="12" customFormat="1" x14ac:dyDescent="0.25">
      <c r="AB298" s="10"/>
      <c r="AC298" s="10"/>
      <c r="AD298" s="10"/>
      <c r="AE298" s="10"/>
      <c r="AF298" s="10"/>
      <c r="AG298" s="10"/>
      <c r="AH298" s="10"/>
      <c r="AI298" s="10"/>
      <c r="AJ298" s="10"/>
      <c r="AK298" s="10"/>
      <c r="AL298" s="10"/>
      <c r="AM298" s="10"/>
      <c r="AN298" s="10"/>
      <c r="AO298" s="10"/>
      <c r="AP298" s="10"/>
      <c r="AQ298" s="10"/>
      <c r="AR298" s="10"/>
      <c r="AS298" s="10"/>
      <c r="AT298" s="10"/>
      <c r="AU298" s="10"/>
      <c r="AV298" s="10"/>
      <c r="AW298" s="10"/>
      <c r="AX298" s="10"/>
      <c r="AY298" s="10"/>
      <c r="AZ298" s="10"/>
      <c r="BA298" s="10"/>
    </row>
    <row r="299" spans="28:53" s="12" customFormat="1" x14ac:dyDescent="0.25">
      <c r="AB299" s="10"/>
      <c r="AC299" s="10"/>
      <c r="AD299" s="10"/>
      <c r="AE299" s="10"/>
      <c r="AF299" s="10"/>
      <c r="AG299" s="10"/>
      <c r="AH299" s="10"/>
      <c r="AI299" s="10"/>
      <c r="AJ299" s="10"/>
      <c r="AK299" s="10"/>
      <c r="AL299" s="10"/>
      <c r="AM299" s="10"/>
      <c r="AN299" s="10"/>
      <c r="AO299" s="10"/>
      <c r="AP299" s="10"/>
      <c r="AQ299" s="10"/>
      <c r="AR299" s="10"/>
      <c r="AS299" s="10"/>
      <c r="AT299" s="10"/>
      <c r="AU299" s="10"/>
      <c r="AV299" s="10"/>
      <c r="AW299" s="10"/>
      <c r="AX299" s="10"/>
      <c r="AY299" s="10"/>
      <c r="AZ299" s="10"/>
      <c r="BA299" s="10"/>
    </row>
    <row r="300" spans="28:53" s="12" customFormat="1" x14ac:dyDescent="0.25">
      <c r="AB300" s="10"/>
      <c r="AC300" s="10"/>
      <c r="AD300" s="10"/>
      <c r="AE300" s="10"/>
      <c r="AF300" s="10"/>
      <c r="AG300" s="10"/>
      <c r="AH300" s="10"/>
      <c r="AI300" s="10"/>
      <c r="AJ300" s="10"/>
      <c r="AK300" s="10"/>
      <c r="AL300" s="10"/>
      <c r="AM300" s="10"/>
      <c r="AN300" s="10"/>
      <c r="AO300" s="10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</row>
    <row r="301" spans="28:53" s="12" customFormat="1" x14ac:dyDescent="0.25">
      <c r="AB301" s="10"/>
      <c r="AC301" s="10"/>
      <c r="AD301" s="10"/>
      <c r="AE301" s="10"/>
      <c r="AF301" s="10"/>
      <c r="AG301" s="10"/>
      <c r="AH301" s="10"/>
      <c r="AI301" s="10"/>
      <c r="AJ301" s="10"/>
      <c r="AK301" s="10"/>
      <c r="AL301" s="10"/>
      <c r="AM301" s="10"/>
      <c r="AN301" s="10"/>
      <c r="AO301" s="10"/>
      <c r="AP301" s="10"/>
      <c r="AQ301" s="10"/>
      <c r="AR301" s="10"/>
      <c r="AS301" s="10"/>
      <c r="AT301" s="10"/>
      <c r="AU301" s="10"/>
      <c r="AV301" s="10"/>
      <c r="AW301" s="10"/>
      <c r="AX301" s="10"/>
      <c r="AY301" s="10"/>
      <c r="AZ301" s="10"/>
      <c r="BA301" s="10"/>
    </row>
    <row r="302" spans="28:53" s="12" customFormat="1" x14ac:dyDescent="0.25">
      <c r="AB302" s="10"/>
      <c r="AC302" s="10"/>
      <c r="AD302" s="10"/>
      <c r="AE302" s="10"/>
      <c r="AF302" s="10"/>
      <c r="AG302" s="10"/>
      <c r="AH302" s="10"/>
      <c r="AI302" s="10"/>
      <c r="AJ302" s="10"/>
      <c r="AK302" s="10"/>
      <c r="AL302" s="10"/>
      <c r="AM302" s="10"/>
      <c r="AN302" s="10"/>
      <c r="AO302" s="10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</row>
    <row r="303" spans="28:53" s="12" customFormat="1" x14ac:dyDescent="0.25">
      <c r="AB303" s="10"/>
      <c r="AC303" s="10"/>
      <c r="AD303" s="10"/>
      <c r="AE303" s="10"/>
      <c r="AF303" s="10"/>
      <c r="AG303" s="10"/>
      <c r="AH303" s="10"/>
      <c r="AI303" s="10"/>
      <c r="AJ303" s="10"/>
      <c r="AK303" s="10"/>
      <c r="AL303" s="10"/>
      <c r="AM303" s="10"/>
      <c r="AN303" s="10"/>
      <c r="AO303" s="10"/>
      <c r="AP303" s="10"/>
      <c r="AQ303" s="10"/>
      <c r="AR303" s="10"/>
      <c r="AS303" s="10"/>
      <c r="AT303" s="10"/>
      <c r="AU303" s="10"/>
      <c r="AV303" s="10"/>
      <c r="AW303" s="10"/>
      <c r="AX303" s="10"/>
      <c r="AY303" s="10"/>
      <c r="AZ303" s="10"/>
      <c r="BA303" s="10"/>
    </row>
    <row r="304" spans="28:53" s="12" customFormat="1" x14ac:dyDescent="0.25">
      <c r="AB304" s="10"/>
      <c r="AC304" s="10"/>
      <c r="AD304" s="10"/>
      <c r="AE304" s="10"/>
      <c r="AF304" s="10"/>
      <c r="AG304" s="10"/>
      <c r="AH304" s="10"/>
      <c r="AI304" s="10"/>
      <c r="AJ304" s="10"/>
      <c r="AK304" s="10"/>
      <c r="AL304" s="10"/>
      <c r="AM304" s="10"/>
      <c r="AN304" s="10"/>
      <c r="AO304" s="10"/>
      <c r="AP304" s="10"/>
      <c r="AQ304" s="10"/>
      <c r="AR304" s="10"/>
      <c r="AS304" s="10"/>
      <c r="AT304" s="10"/>
      <c r="AU304" s="10"/>
      <c r="AV304" s="10"/>
      <c r="AW304" s="10"/>
      <c r="AX304" s="10"/>
      <c r="AY304" s="10"/>
      <c r="AZ304" s="10"/>
      <c r="BA304" s="10"/>
    </row>
    <row r="305" spans="28:53" s="12" customFormat="1" x14ac:dyDescent="0.25">
      <c r="AB305" s="10"/>
      <c r="AC305" s="10"/>
      <c r="AD305" s="10"/>
      <c r="AE305" s="10"/>
      <c r="AF305" s="10"/>
      <c r="AG305" s="10"/>
      <c r="AH305" s="10"/>
      <c r="AI305" s="10"/>
      <c r="AJ305" s="10"/>
      <c r="AK305" s="10"/>
      <c r="AL305" s="10"/>
      <c r="AM305" s="10"/>
      <c r="AN305" s="10"/>
      <c r="AO305" s="10"/>
      <c r="AP305" s="10"/>
      <c r="AQ305" s="10"/>
      <c r="AR305" s="10"/>
      <c r="AS305" s="10"/>
      <c r="AT305" s="10"/>
      <c r="AU305" s="10"/>
      <c r="AV305" s="10"/>
      <c r="AW305" s="10"/>
      <c r="AX305" s="10"/>
      <c r="AY305" s="10"/>
      <c r="AZ305" s="10"/>
      <c r="BA305" s="10"/>
    </row>
    <row r="306" spans="28:53" s="12" customFormat="1" x14ac:dyDescent="0.25">
      <c r="AB306" s="10"/>
      <c r="AC306" s="10"/>
      <c r="AD306" s="10"/>
      <c r="AE306" s="10"/>
      <c r="AF306" s="10"/>
      <c r="AG306" s="10"/>
      <c r="AH306" s="10"/>
      <c r="AI306" s="10"/>
      <c r="AJ306" s="10"/>
      <c r="AK306" s="10"/>
      <c r="AL306" s="10"/>
      <c r="AM306" s="10"/>
      <c r="AN306" s="10"/>
      <c r="AO306" s="10"/>
      <c r="AP306" s="10"/>
      <c r="AQ306" s="10"/>
      <c r="AR306" s="10"/>
      <c r="AS306" s="10"/>
      <c r="AT306" s="10"/>
      <c r="AU306" s="10"/>
      <c r="AV306" s="10"/>
      <c r="AW306" s="10"/>
      <c r="AX306" s="10"/>
      <c r="AY306" s="10"/>
      <c r="AZ306" s="10"/>
      <c r="BA306" s="10"/>
    </row>
    <row r="307" spans="28:53" s="12" customFormat="1" x14ac:dyDescent="0.25">
      <c r="AB307" s="10"/>
      <c r="AC307" s="10"/>
      <c r="AD307" s="10"/>
      <c r="AE307" s="10"/>
      <c r="AF307" s="10"/>
      <c r="AG307" s="10"/>
      <c r="AH307" s="10"/>
      <c r="AI307" s="10"/>
      <c r="AJ307" s="10"/>
      <c r="AK307" s="10"/>
      <c r="AL307" s="10"/>
      <c r="AM307" s="10"/>
      <c r="AN307" s="10"/>
      <c r="AO307" s="10"/>
      <c r="AP307" s="10"/>
      <c r="AQ307" s="10"/>
      <c r="AR307" s="10"/>
      <c r="AS307" s="10"/>
      <c r="AT307" s="10"/>
      <c r="AU307" s="10"/>
      <c r="AV307" s="10"/>
      <c r="AW307" s="10"/>
      <c r="AX307" s="10"/>
      <c r="AY307" s="10"/>
      <c r="AZ307" s="10"/>
      <c r="BA307" s="10"/>
    </row>
    <row r="308" spans="28:53" s="12" customFormat="1" x14ac:dyDescent="0.25">
      <c r="AB308" s="10"/>
      <c r="AC308" s="10"/>
      <c r="AD308" s="10"/>
      <c r="AE308" s="10"/>
      <c r="AF308" s="10"/>
      <c r="AG308" s="10"/>
      <c r="AH308" s="10"/>
      <c r="AI308" s="10"/>
      <c r="AJ308" s="10"/>
      <c r="AK308" s="10"/>
      <c r="AL308" s="10"/>
      <c r="AM308" s="10"/>
      <c r="AN308" s="10"/>
      <c r="AO308" s="10"/>
      <c r="AP308" s="10"/>
      <c r="AQ308" s="10"/>
      <c r="AR308" s="10"/>
      <c r="AS308" s="10"/>
      <c r="AT308" s="10"/>
      <c r="AU308" s="10"/>
      <c r="AV308" s="10"/>
      <c r="AW308" s="10"/>
      <c r="AX308" s="10"/>
      <c r="AY308" s="10"/>
      <c r="AZ308" s="10"/>
      <c r="BA308" s="10"/>
    </row>
    <row r="309" spans="28:53" s="12" customFormat="1" x14ac:dyDescent="0.25">
      <c r="AB309" s="10"/>
      <c r="AC309" s="10"/>
      <c r="AD309" s="10"/>
      <c r="AE309" s="10"/>
      <c r="AF309" s="10"/>
      <c r="AG309" s="10"/>
      <c r="AH309" s="10"/>
      <c r="AI309" s="10"/>
      <c r="AJ309" s="10"/>
      <c r="AK309" s="10"/>
      <c r="AL309" s="10"/>
      <c r="AM309" s="10"/>
      <c r="AN309" s="10"/>
      <c r="AO309" s="10"/>
      <c r="AP309" s="10"/>
      <c r="AQ309" s="10"/>
      <c r="AR309" s="10"/>
      <c r="AS309" s="10"/>
      <c r="AT309" s="10"/>
      <c r="AU309" s="10"/>
      <c r="AV309" s="10"/>
      <c r="AW309" s="10"/>
      <c r="AX309" s="10"/>
      <c r="AY309" s="10"/>
      <c r="AZ309" s="10"/>
      <c r="BA309" s="10"/>
    </row>
    <row r="310" spans="28:53" s="12" customFormat="1" x14ac:dyDescent="0.25">
      <c r="AB310" s="10"/>
      <c r="AC310" s="10"/>
      <c r="AD310" s="10"/>
      <c r="AE310" s="10"/>
      <c r="AF310" s="10"/>
      <c r="AG310" s="10"/>
      <c r="AH310" s="10"/>
      <c r="AI310" s="10"/>
      <c r="AJ310" s="10"/>
      <c r="AK310" s="10"/>
      <c r="AL310" s="10"/>
      <c r="AM310" s="10"/>
      <c r="AN310" s="10"/>
      <c r="AO310" s="10"/>
      <c r="AP310" s="10"/>
      <c r="AQ310" s="10"/>
      <c r="AR310" s="10"/>
      <c r="AS310" s="10"/>
      <c r="AT310" s="10"/>
      <c r="AU310" s="10"/>
      <c r="AV310" s="10"/>
      <c r="AW310" s="10"/>
      <c r="AX310" s="10"/>
      <c r="AY310" s="10"/>
      <c r="AZ310" s="10"/>
      <c r="BA310" s="10"/>
    </row>
    <row r="311" spans="28:53" s="12" customFormat="1" x14ac:dyDescent="0.25">
      <c r="AB311" s="10"/>
      <c r="AC311" s="10"/>
      <c r="AD311" s="10"/>
      <c r="AE311" s="10"/>
      <c r="AF311" s="10"/>
      <c r="AG311" s="10"/>
      <c r="AH311" s="10"/>
      <c r="AI311" s="10"/>
      <c r="AJ311" s="10"/>
      <c r="AK311" s="10"/>
      <c r="AL311" s="10"/>
      <c r="AM311" s="10"/>
      <c r="AN311" s="10"/>
      <c r="AO311" s="10"/>
      <c r="AP311" s="10"/>
      <c r="AQ311" s="10"/>
      <c r="AR311" s="10"/>
      <c r="AS311" s="10"/>
      <c r="AT311" s="10"/>
      <c r="AU311" s="10"/>
      <c r="AV311" s="10"/>
      <c r="AW311" s="10"/>
      <c r="AX311" s="10"/>
      <c r="AY311" s="10"/>
      <c r="AZ311" s="10"/>
      <c r="BA311" s="10"/>
    </row>
    <row r="312" spans="28:53" s="12" customFormat="1" x14ac:dyDescent="0.25">
      <c r="AB312" s="10"/>
      <c r="AC312" s="10"/>
      <c r="AD312" s="10"/>
      <c r="AE312" s="10"/>
      <c r="AF312" s="10"/>
      <c r="AG312" s="10"/>
      <c r="AH312" s="10"/>
      <c r="AI312" s="10"/>
      <c r="AJ312" s="10"/>
      <c r="AK312" s="10"/>
      <c r="AL312" s="10"/>
      <c r="AM312" s="10"/>
      <c r="AN312" s="10"/>
      <c r="AO312" s="10"/>
      <c r="AP312" s="10"/>
      <c r="AQ312" s="10"/>
      <c r="AR312" s="10"/>
      <c r="AS312" s="10"/>
      <c r="AT312" s="10"/>
      <c r="AU312" s="10"/>
      <c r="AV312" s="10"/>
      <c r="AW312" s="10"/>
      <c r="AX312" s="10"/>
      <c r="AY312" s="10"/>
      <c r="AZ312" s="10"/>
      <c r="BA312" s="10"/>
    </row>
    <row r="313" spans="28:53" s="12" customFormat="1" x14ac:dyDescent="0.25">
      <c r="AB313" s="10"/>
      <c r="AC313" s="10"/>
      <c r="AD313" s="10"/>
      <c r="AE313" s="10"/>
      <c r="AF313" s="10"/>
      <c r="AG313" s="10"/>
      <c r="AH313" s="10"/>
      <c r="AI313" s="10"/>
      <c r="AJ313" s="10"/>
      <c r="AK313" s="10"/>
      <c r="AL313" s="10"/>
      <c r="AM313" s="10"/>
      <c r="AN313" s="10"/>
      <c r="AO313" s="10"/>
      <c r="AP313" s="10"/>
      <c r="AQ313" s="10"/>
      <c r="AR313" s="10"/>
      <c r="AS313" s="10"/>
      <c r="AT313" s="10"/>
      <c r="AU313" s="10"/>
      <c r="AV313" s="10"/>
      <c r="AW313" s="10"/>
      <c r="AX313" s="10"/>
      <c r="AY313" s="10"/>
      <c r="AZ313" s="10"/>
      <c r="BA313" s="10"/>
    </row>
    <row r="314" spans="28:53" s="12" customFormat="1" x14ac:dyDescent="0.25">
      <c r="AB314" s="10"/>
      <c r="AC314" s="10"/>
      <c r="AD314" s="10"/>
      <c r="AE314" s="10"/>
      <c r="AF314" s="10"/>
      <c r="AG314" s="10"/>
      <c r="AH314" s="10"/>
      <c r="AI314" s="10"/>
      <c r="AJ314" s="10"/>
      <c r="AK314" s="10"/>
      <c r="AL314" s="10"/>
      <c r="AM314" s="10"/>
      <c r="AN314" s="10"/>
      <c r="AO314" s="10"/>
      <c r="AP314" s="10"/>
      <c r="AQ314" s="10"/>
      <c r="AR314" s="10"/>
      <c r="AS314" s="10"/>
      <c r="AT314" s="10"/>
      <c r="AU314" s="10"/>
      <c r="AV314" s="10"/>
      <c r="AW314" s="10"/>
      <c r="AX314" s="10"/>
      <c r="AY314" s="10"/>
      <c r="AZ314" s="10"/>
      <c r="BA314" s="10"/>
    </row>
    <row r="315" spans="28:53" s="12" customFormat="1" x14ac:dyDescent="0.25">
      <c r="AB315" s="10"/>
      <c r="AC315" s="10"/>
      <c r="AD315" s="10"/>
      <c r="AE315" s="10"/>
      <c r="AF315" s="10"/>
      <c r="AG315" s="10"/>
      <c r="AH315" s="10"/>
      <c r="AI315" s="10"/>
      <c r="AJ315" s="10"/>
      <c r="AK315" s="10"/>
      <c r="AL315" s="10"/>
      <c r="AM315" s="10"/>
      <c r="AN315" s="10"/>
      <c r="AO315" s="10"/>
      <c r="AP315" s="10"/>
      <c r="AQ315" s="10"/>
      <c r="AR315" s="10"/>
      <c r="AS315" s="10"/>
      <c r="AT315" s="10"/>
      <c r="AU315" s="10"/>
      <c r="AV315" s="10"/>
      <c r="AW315" s="10"/>
      <c r="AX315" s="10"/>
      <c r="AY315" s="10"/>
      <c r="AZ315" s="10"/>
      <c r="BA315" s="10"/>
    </row>
    <row r="316" spans="28:53" s="12" customFormat="1" x14ac:dyDescent="0.25">
      <c r="AB316" s="10"/>
      <c r="AC316" s="10"/>
      <c r="AD316" s="10"/>
      <c r="AE316" s="10"/>
      <c r="AF316" s="10"/>
      <c r="AG316" s="10"/>
      <c r="AH316" s="10"/>
      <c r="AI316" s="10"/>
      <c r="AJ316" s="10"/>
      <c r="AK316" s="10"/>
      <c r="AL316" s="10"/>
      <c r="AM316" s="10"/>
      <c r="AN316" s="10"/>
      <c r="AO316" s="10"/>
      <c r="AP316" s="10"/>
      <c r="AQ316" s="10"/>
      <c r="AR316" s="10"/>
      <c r="AS316" s="10"/>
      <c r="AT316" s="10"/>
      <c r="AU316" s="10"/>
      <c r="AV316" s="10"/>
      <c r="AW316" s="10"/>
      <c r="AX316" s="10"/>
      <c r="AY316" s="10"/>
      <c r="AZ316" s="10"/>
      <c r="BA316" s="10"/>
    </row>
    <row r="317" spans="28:53" s="12" customFormat="1" x14ac:dyDescent="0.25">
      <c r="AB317" s="10"/>
      <c r="AC317" s="10"/>
      <c r="AD317" s="10"/>
      <c r="AE317" s="10"/>
      <c r="AF317" s="10"/>
      <c r="AG317" s="10"/>
      <c r="AH317" s="10"/>
      <c r="AI317" s="10"/>
      <c r="AJ317" s="10"/>
      <c r="AK317" s="10"/>
      <c r="AL317" s="10"/>
      <c r="AM317" s="10"/>
      <c r="AN317" s="10"/>
      <c r="AO317" s="10"/>
      <c r="AP317" s="10"/>
      <c r="AQ317" s="10"/>
      <c r="AR317" s="10"/>
      <c r="AS317" s="10"/>
      <c r="AT317" s="10"/>
      <c r="AU317" s="10"/>
      <c r="AV317" s="10"/>
      <c r="AW317" s="10"/>
      <c r="AX317" s="10"/>
      <c r="AY317" s="10"/>
      <c r="AZ317" s="10"/>
      <c r="BA317" s="10"/>
    </row>
    <row r="318" spans="28:53" s="12" customFormat="1" x14ac:dyDescent="0.25">
      <c r="AB318" s="10"/>
      <c r="AC318" s="10"/>
      <c r="AD318" s="10"/>
      <c r="AE318" s="10"/>
      <c r="AF318" s="10"/>
      <c r="AG318" s="10"/>
      <c r="AH318" s="10"/>
      <c r="AI318" s="10"/>
      <c r="AJ318" s="10"/>
      <c r="AK318" s="10"/>
      <c r="AL318" s="10"/>
      <c r="AM318" s="10"/>
      <c r="AN318" s="10"/>
      <c r="AO318" s="10"/>
      <c r="AP318" s="10"/>
      <c r="AQ318" s="10"/>
      <c r="AR318" s="10"/>
      <c r="AS318" s="10"/>
      <c r="AT318" s="10"/>
      <c r="AU318" s="10"/>
      <c r="AV318" s="10"/>
      <c r="AW318" s="10"/>
      <c r="AX318" s="10"/>
      <c r="AY318" s="10"/>
      <c r="AZ318" s="10"/>
      <c r="BA318" s="10"/>
    </row>
    <row r="319" spans="28:53" s="12" customFormat="1" x14ac:dyDescent="0.25">
      <c r="AB319" s="10"/>
      <c r="AC319" s="10"/>
      <c r="AD319" s="10"/>
      <c r="AE319" s="10"/>
      <c r="AF319" s="10"/>
      <c r="AG319" s="10"/>
      <c r="AH319" s="10"/>
      <c r="AI319" s="10"/>
      <c r="AJ319" s="10"/>
      <c r="AK319" s="10"/>
      <c r="AL319" s="10"/>
      <c r="AM319" s="10"/>
      <c r="AN319" s="10"/>
      <c r="AO319" s="10"/>
      <c r="AP319" s="10"/>
      <c r="AQ319" s="10"/>
      <c r="AR319" s="10"/>
      <c r="AS319" s="10"/>
      <c r="AT319" s="10"/>
      <c r="AU319" s="10"/>
      <c r="AV319" s="10"/>
      <c r="AW319" s="10"/>
      <c r="AX319" s="10"/>
      <c r="AY319" s="10"/>
      <c r="AZ319" s="10"/>
      <c r="BA319" s="10"/>
    </row>
    <row r="320" spans="28:53" s="12" customFormat="1" x14ac:dyDescent="0.25">
      <c r="AB320" s="10"/>
      <c r="AC320" s="10"/>
      <c r="AD320" s="10"/>
      <c r="AE320" s="10"/>
      <c r="AF320" s="10"/>
      <c r="AG320" s="10"/>
      <c r="AH320" s="10"/>
      <c r="AI320" s="10"/>
      <c r="AJ320" s="10"/>
      <c r="AK320" s="10"/>
      <c r="AL320" s="10"/>
      <c r="AM320" s="10"/>
      <c r="AN320" s="10"/>
      <c r="AO320" s="10"/>
      <c r="AP320" s="10"/>
      <c r="AQ320" s="10"/>
      <c r="AR320" s="10"/>
      <c r="AS320" s="10"/>
      <c r="AT320" s="10"/>
      <c r="AU320" s="10"/>
      <c r="AV320" s="10"/>
      <c r="AW320" s="10"/>
      <c r="AX320" s="10"/>
      <c r="AY320" s="10"/>
      <c r="AZ320" s="10"/>
      <c r="BA320" s="10"/>
    </row>
    <row r="321" spans="28:53" s="12" customFormat="1" x14ac:dyDescent="0.25">
      <c r="AB321" s="10"/>
      <c r="AC321" s="10"/>
      <c r="AD321" s="10"/>
      <c r="AE321" s="10"/>
      <c r="AF321" s="10"/>
      <c r="AG321" s="10"/>
      <c r="AH321" s="10"/>
      <c r="AI321" s="10"/>
      <c r="AJ321" s="10"/>
      <c r="AK321" s="10"/>
      <c r="AL321" s="10"/>
      <c r="AM321" s="10"/>
      <c r="AN321" s="10"/>
      <c r="AO321" s="10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</row>
    <row r="322" spans="28:53" s="12" customFormat="1" x14ac:dyDescent="0.25">
      <c r="AB322" s="10"/>
      <c r="AC322" s="10"/>
      <c r="AD322" s="10"/>
      <c r="AE322" s="10"/>
      <c r="AF322" s="10"/>
      <c r="AG322" s="10"/>
      <c r="AH322" s="10"/>
      <c r="AI322" s="10"/>
      <c r="AJ322" s="10"/>
      <c r="AK322" s="10"/>
      <c r="AL322" s="10"/>
      <c r="AM322" s="10"/>
      <c r="AN322" s="10"/>
      <c r="AO322" s="10"/>
      <c r="AP322" s="10"/>
      <c r="AQ322" s="10"/>
      <c r="AR322" s="10"/>
      <c r="AS322" s="10"/>
      <c r="AT322" s="10"/>
      <c r="AU322" s="10"/>
      <c r="AV322" s="10"/>
      <c r="AW322" s="10"/>
      <c r="AX322" s="10"/>
      <c r="AY322" s="10"/>
      <c r="AZ322" s="10"/>
      <c r="BA322" s="10"/>
    </row>
    <row r="323" spans="28:53" s="12" customFormat="1" x14ac:dyDescent="0.25">
      <c r="AB323" s="10"/>
      <c r="AC323" s="10"/>
      <c r="AD323" s="10"/>
      <c r="AE323" s="10"/>
      <c r="AF323" s="10"/>
      <c r="AG323" s="10"/>
      <c r="AH323" s="10"/>
      <c r="AI323" s="10"/>
      <c r="AJ323" s="10"/>
      <c r="AK323" s="10"/>
      <c r="AL323" s="10"/>
      <c r="AM323" s="10"/>
      <c r="AN323" s="10"/>
      <c r="AO323" s="10"/>
      <c r="AP323" s="10"/>
      <c r="AQ323" s="10"/>
      <c r="AR323" s="10"/>
      <c r="AS323" s="10"/>
      <c r="AT323" s="10"/>
      <c r="AU323" s="10"/>
      <c r="AV323" s="10"/>
      <c r="AW323" s="10"/>
      <c r="AX323" s="10"/>
      <c r="AY323" s="10"/>
      <c r="AZ323" s="10"/>
      <c r="BA323" s="10"/>
    </row>
    <row r="324" spans="28:53" s="12" customFormat="1" x14ac:dyDescent="0.25">
      <c r="AB324" s="10"/>
      <c r="AC324" s="10"/>
      <c r="AD324" s="10"/>
      <c r="AE324" s="10"/>
      <c r="AF324" s="10"/>
      <c r="AG324" s="10"/>
      <c r="AH324" s="10"/>
      <c r="AI324" s="10"/>
      <c r="AJ324" s="10"/>
      <c r="AK324" s="10"/>
      <c r="AL324" s="10"/>
      <c r="AM324" s="10"/>
      <c r="AN324" s="10"/>
      <c r="AO324" s="10"/>
      <c r="AP324" s="10"/>
      <c r="AQ324" s="10"/>
      <c r="AR324" s="10"/>
      <c r="AS324" s="10"/>
      <c r="AT324" s="10"/>
      <c r="AU324" s="10"/>
      <c r="AV324" s="10"/>
      <c r="AW324" s="10"/>
      <c r="AX324" s="10"/>
      <c r="AY324" s="10"/>
      <c r="AZ324" s="10"/>
      <c r="BA324" s="10"/>
    </row>
    <row r="325" spans="28:53" s="12" customFormat="1" x14ac:dyDescent="0.25">
      <c r="AB325" s="10"/>
      <c r="AC325" s="10"/>
      <c r="AD325" s="10"/>
      <c r="AE325" s="10"/>
      <c r="AF325" s="10"/>
      <c r="AG325" s="10"/>
      <c r="AH325" s="10"/>
      <c r="AI325" s="10"/>
      <c r="AJ325" s="10"/>
      <c r="AK325" s="10"/>
      <c r="AL325" s="10"/>
      <c r="AM325" s="10"/>
      <c r="AN325" s="10"/>
      <c r="AO325" s="10"/>
      <c r="AP325" s="10"/>
      <c r="AQ325" s="10"/>
      <c r="AR325" s="10"/>
      <c r="AS325" s="10"/>
      <c r="AT325" s="10"/>
      <c r="AU325" s="10"/>
      <c r="AV325" s="10"/>
      <c r="AW325" s="10"/>
      <c r="AX325" s="10"/>
      <c r="AY325" s="10"/>
      <c r="AZ325" s="10"/>
      <c r="BA325" s="10"/>
    </row>
    <row r="326" spans="28:53" s="12" customFormat="1" x14ac:dyDescent="0.25"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  <c r="AP326" s="10"/>
      <c r="AQ326" s="10"/>
      <c r="AR326" s="10"/>
      <c r="AS326" s="10"/>
      <c r="AT326" s="10"/>
      <c r="AU326" s="10"/>
      <c r="AV326" s="10"/>
      <c r="AW326" s="10"/>
      <c r="AX326" s="10"/>
      <c r="AY326" s="10"/>
      <c r="AZ326" s="10"/>
      <c r="BA326" s="10"/>
    </row>
    <row r="327" spans="28:53" s="12" customFormat="1" x14ac:dyDescent="0.25"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  <c r="AP327" s="10"/>
      <c r="AQ327" s="10"/>
      <c r="AR327" s="10"/>
      <c r="AS327" s="10"/>
      <c r="AT327" s="10"/>
      <c r="AU327" s="10"/>
      <c r="AV327" s="10"/>
      <c r="AW327" s="10"/>
      <c r="AX327" s="10"/>
      <c r="AY327" s="10"/>
      <c r="AZ327" s="10"/>
      <c r="BA327" s="10"/>
    </row>
    <row r="328" spans="28:53" s="12" customFormat="1" x14ac:dyDescent="0.25"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  <c r="AP328" s="10"/>
      <c r="AQ328" s="10"/>
      <c r="AR328" s="10"/>
      <c r="AS328" s="10"/>
      <c r="AT328" s="10"/>
      <c r="AU328" s="10"/>
      <c r="AV328" s="10"/>
      <c r="AW328" s="10"/>
      <c r="AX328" s="10"/>
      <c r="AY328" s="10"/>
      <c r="AZ328" s="10"/>
      <c r="BA328" s="10"/>
    </row>
    <row r="329" spans="28:53" s="12" customFormat="1" x14ac:dyDescent="0.25"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  <c r="AP329" s="10"/>
      <c r="AQ329" s="10"/>
      <c r="AR329" s="10"/>
      <c r="AS329" s="10"/>
      <c r="AT329" s="10"/>
      <c r="AU329" s="10"/>
      <c r="AV329" s="10"/>
      <c r="AW329" s="10"/>
      <c r="AX329" s="10"/>
      <c r="AY329" s="10"/>
      <c r="AZ329" s="10"/>
      <c r="BA329" s="10"/>
    </row>
    <row r="330" spans="28:53" s="12" customFormat="1" x14ac:dyDescent="0.25"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  <c r="AP330" s="10"/>
      <c r="AQ330" s="10"/>
      <c r="AR330" s="10"/>
      <c r="AS330" s="10"/>
      <c r="AT330" s="10"/>
      <c r="AU330" s="10"/>
      <c r="AV330" s="10"/>
      <c r="AW330" s="10"/>
      <c r="AX330" s="10"/>
      <c r="AY330" s="10"/>
      <c r="AZ330" s="10"/>
      <c r="BA330" s="10"/>
    </row>
    <row r="331" spans="28:53" s="12" customFormat="1" x14ac:dyDescent="0.25"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  <c r="AP331" s="10"/>
      <c r="AQ331" s="10"/>
      <c r="AR331" s="10"/>
      <c r="AS331" s="10"/>
      <c r="AT331" s="10"/>
      <c r="AU331" s="10"/>
      <c r="AV331" s="10"/>
      <c r="AW331" s="10"/>
      <c r="AX331" s="10"/>
      <c r="AY331" s="10"/>
      <c r="AZ331" s="10"/>
      <c r="BA331" s="10"/>
    </row>
    <row r="332" spans="28:53" s="12" customFormat="1" x14ac:dyDescent="0.25"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  <c r="AP332" s="10"/>
      <c r="AQ332" s="10"/>
      <c r="AR332" s="10"/>
      <c r="AS332" s="10"/>
      <c r="AT332" s="10"/>
      <c r="AU332" s="10"/>
      <c r="AV332" s="10"/>
      <c r="AW332" s="10"/>
      <c r="AX332" s="10"/>
      <c r="AY332" s="10"/>
      <c r="AZ332" s="10"/>
      <c r="BA332" s="10"/>
    </row>
    <row r="333" spans="28:53" s="12" customFormat="1" x14ac:dyDescent="0.25"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</row>
    <row r="334" spans="28:53" s="12" customFormat="1" x14ac:dyDescent="0.25"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  <c r="AP334" s="10"/>
      <c r="AQ334" s="10"/>
      <c r="AR334" s="10"/>
      <c r="AS334" s="10"/>
      <c r="AT334" s="10"/>
      <c r="AU334" s="10"/>
      <c r="AV334" s="10"/>
      <c r="AW334" s="10"/>
      <c r="AX334" s="10"/>
      <c r="AY334" s="10"/>
      <c r="AZ334" s="10"/>
      <c r="BA334" s="10"/>
    </row>
    <row r="335" spans="28:53" s="12" customFormat="1" x14ac:dyDescent="0.25"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  <c r="AP335" s="10"/>
      <c r="AQ335" s="10"/>
      <c r="AR335" s="10"/>
      <c r="AS335" s="10"/>
      <c r="AT335" s="10"/>
      <c r="AU335" s="10"/>
      <c r="AV335" s="10"/>
      <c r="AW335" s="10"/>
      <c r="AX335" s="10"/>
      <c r="AY335" s="10"/>
      <c r="AZ335" s="10"/>
      <c r="BA335" s="10"/>
    </row>
    <row r="336" spans="28:53" s="12" customFormat="1" x14ac:dyDescent="0.25"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  <c r="AP336" s="10"/>
      <c r="AQ336" s="10"/>
      <c r="AR336" s="10"/>
      <c r="AS336" s="10"/>
      <c r="AT336" s="10"/>
      <c r="AU336" s="10"/>
      <c r="AV336" s="10"/>
      <c r="AW336" s="10"/>
      <c r="AX336" s="10"/>
      <c r="AY336" s="10"/>
      <c r="AZ336" s="10"/>
      <c r="BA336" s="10"/>
    </row>
    <row r="337" spans="28:54" s="12" customFormat="1" x14ac:dyDescent="0.25"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  <c r="AP337" s="10"/>
      <c r="AQ337" s="10"/>
      <c r="AR337" s="10"/>
      <c r="AS337" s="10"/>
      <c r="AT337" s="10"/>
      <c r="AU337" s="10"/>
      <c r="AV337" s="10"/>
      <c r="AW337" s="10"/>
      <c r="AX337" s="10"/>
      <c r="AY337" s="10"/>
      <c r="AZ337" s="10"/>
      <c r="BA337" s="10"/>
      <c r="BB337" s="10"/>
    </row>
    <row r="338" spans="28:54" s="12" customFormat="1" x14ac:dyDescent="0.25"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  <c r="AP338" s="10"/>
      <c r="AQ338" s="10"/>
      <c r="AR338" s="10"/>
      <c r="AS338" s="10"/>
      <c r="AT338" s="10"/>
      <c r="AU338" s="10"/>
      <c r="AV338" s="10"/>
      <c r="AW338" s="10"/>
      <c r="AX338" s="10"/>
      <c r="AY338" s="10"/>
      <c r="AZ338" s="10"/>
      <c r="BA338" s="10"/>
      <c r="BB338" s="10"/>
    </row>
    <row r="339" spans="28:54" s="12" customFormat="1" x14ac:dyDescent="0.25"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  <c r="AP339" s="10"/>
      <c r="AQ339" s="10"/>
      <c r="AR339" s="10"/>
      <c r="AS339" s="10"/>
      <c r="AT339" s="10"/>
      <c r="AU339" s="10"/>
      <c r="AV339" s="10"/>
      <c r="AW339" s="10"/>
      <c r="AX339" s="10"/>
      <c r="AY339" s="10"/>
      <c r="AZ339" s="10"/>
      <c r="BA339" s="10"/>
      <c r="BB339" s="10"/>
    </row>
    <row r="340" spans="28:54" s="12" customFormat="1" x14ac:dyDescent="0.25"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  <c r="AP340" s="10"/>
      <c r="AQ340" s="10"/>
      <c r="AR340" s="10"/>
      <c r="AS340" s="10"/>
      <c r="AT340" s="10"/>
      <c r="AU340" s="10"/>
      <c r="AV340" s="10"/>
      <c r="AW340" s="10"/>
      <c r="AX340" s="10"/>
      <c r="AY340" s="10"/>
      <c r="AZ340" s="10"/>
      <c r="BA340" s="10"/>
      <c r="BB340" s="10"/>
    </row>
    <row r="341" spans="28:54" s="12" customFormat="1" x14ac:dyDescent="0.25"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  <c r="AP341" s="10"/>
      <c r="AQ341" s="10"/>
      <c r="AR341" s="10"/>
      <c r="AS341" s="10"/>
      <c r="AT341" s="10"/>
      <c r="AU341" s="10"/>
      <c r="AV341" s="10"/>
      <c r="AW341" s="10"/>
      <c r="AX341" s="10"/>
      <c r="AY341" s="10"/>
      <c r="AZ341" s="10"/>
      <c r="BA341" s="10"/>
      <c r="BB341" s="10"/>
    </row>
    <row r="342" spans="28:54" s="12" customFormat="1" x14ac:dyDescent="0.25"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  <c r="AP342" s="10"/>
      <c r="AQ342" s="10"/>
      <c r="AR342" s="10"/>
      <c r="AS342" s="10"/>
      <c r="AT342" s="10"/>
      <c r="AU342" s="10"/>
      <c r="AV342" s="10"/>
      <c r="AW342" s="10"/>
      <c r="AX342" s="10"/>
      <c r="AY342" s="10"/>
      <c r="AZ342" s="10"/>
      <c r="BA342" s="10"/>
      <c r="BB342" s="10"/>
    </row>
    <row r="343" spans="28:54" s="12" customFormat="1" x14ac:dyDescent="0.25"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  <c r="AP343" s="10"/>
      <c r="AQ343" s="10"/>
      <c r="AR343" s="10"/>
      <c r="AS343" s="10"/>
      <c r="AT343" s="10"/>
      <c r="AU343" s="10"/>
      <c r="AV343" s="10"/>
      <c r="AW343" s="10"/>
      <c r="AX343" s="10"/>
      <c r="AY343" s="10"/>
      <c r="AZ343" s="10"/>
      <c r="BA343" s="10"/>
      <c r="BB343" s="10"/>
    </row>
    <row r="344" spans="28:54" s="12" customFormat="1" x14ac:dyDescent="0.25"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  <c r="AP344" s="10"/>
      <c r="AQ344" s="10"/>
      <c r="AR344" s="10"/>
      <c r="AS344" s="10"/>
      <c r="AT344" s="10"/>
      <c r="AU344" s="10"/>
      <c r="AV344" s="10"/>
      <c r="AW344" s="10"/>
      <c r="AX344" s="10"/>
      <c r="AY344" s="10"/>
      <c r="AZ344" s="10"/>
      <c r="BA344" s="10"/>
      <c r="BB344" s="10"/>
    </row>
    <row r="345" spans="28:54" s="12" customFormat="1" x14ac:dyDescent="0.25"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  <c r="AP345" s="10"/>
      <c r="AQ345" s="10"/>
      <c r="AR345" s="10"/>
      <c r="AS345" s="10"/>
      <c r="AT345" s="10"/>
      <c r="AU345" s="10"/>
      <c r="AV345" s="10"/>
      <c r="AW345" s="10"/>
      <c r="AX345" s="10"/>
      <c r="AY345" s="10"/>
      <c r="AZ345" s="10"/>
      <c r="BA345" s="10"/>
      <c r="BB345" s="10"/>
    </row>
    <row r="346" spans="28:54" s="12" customFormat="1" x14ac:dyDescent="0.25"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  <c r="AP346" s="10"/>
      <c r="AQ346" s="10"/>
      <c r="AR346" s="10"/>
      <c r="AS346" s="10"/>
      <c r="AT346" s="10"/>
      <c r="AU346" s="10"/>
      <c r="AV346" s="10"/>
      <c r="AW346" s="10"/>
      <c r="AX346" s="10"/>
      <c r="AY346" s="10"/>
      <c r="AZ346" s="10"/>
      <c r="BA346" s="10"/>
      <c r="BB346" s="10"/>
    </row>
    <row r="347" spans="28:54" s="12" customFormat="1" x14ac:dyDescent="0.25"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  <c r="AP347" s="10"/>
      <c r="AQ347" s="10"/>
      <c r="AR347" s="10"/>
      <c r="AS347" s="10"/>
      <c r="AT347" s="10"/>
      <c r="AU347" s="10"/>
      <c r="AV347" s="10"/>
      <c r="AW347" s="10"/>
      <c r="AX347" s="10"/>
      <c r="AY347" s="10"/>
      <c r="AZ347" s="10"/>
      <c r="BA347" s="10"/>
      <c r="BB347" s="10"/>
    </row>
    <row r="348" spans="28:54" s="12" customFormat="1" x14ac:dyDescent="0.25"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  <c r="AP348" s="10"/>
      <c r="AQ348" s="10"/>
      <c r="AR348" s="10"/>
      <c r="AS348" s="10"/>
      <c r="AT348" s="10"/>
      <c r="AU348" s="10"/>
      <c r="AV348" s="10"/>
      <c r="AW348" s="10"/>
      <c r="AX348" s="10"/>
      <c r="AY348" s="10"/>
      <c r="AZ348" s="10"/>
      <c r="BA348" s="10"/>
      <c r="BB348" s="10"/>
    </row>
    <row r="349" spans="28:54" s="12" customFormat="1" x14ac:dyDescent="0.25"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  <c r="AP349" s="10"/>
      <c r="AQ349" s="10"/>
      <c r="AR349" s="10"/>
      <c r="AS349" s="10"/>
      <c r="AT349" s="10"/>
      <c r="AU349" s="10"/>
      <c r="AV349" s="10"/>
      <c r="AW349" s="10"/>
      <c r="AX349" s="10"/>
      <c r="AY349" s="10"/>
      <c r="AZ349" s="10"/>
      <c r="BA349" s="10"/>
      <c r="BB349" s="10"/>
    </row>
    <row r="350" spans="28:54" s="12" customFormat="1" x14ac:dyDescent="0.25"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"/>
    </row>
    <row r="351" spans="28:54" s="12" customFormat="1" x14ac:dyDescent="0.25"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  <c r="AP351" s="10"/>
      <c r="AQ351" s="10"/>
      <c r="AR351" s="10"/>
      <c r="AS351" s="10"/>
      <c r="AT351" s="10"/>
      <c r="AU351" s="10"/>
      <c r="AV351" s="10"/>
      <c r="AW351" s="10"/>
      <c r="AX351" s="10"/>
      <c r="AY351" s="10"/>
      <c r="AZ351" s="10"/>
      <c r="BA351" s="10"/>
      <c r="BB351" s="10"/>
    </row>
    <row r="352" spans="28:54" s="12" customFormat="1" x14ac:dyDescent="0.25"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  <c r="AP352" s="10"/>
      <c r="AQ352" s="10"/>
      <c r="AR352" s="10"/>
      <c r="AS352" s="10"/>
      <c r="AT352" s="10"/>
      <c r="AU352" s="10"/>
      <c r="AV352" s="10"/>
      <c r="AW352" s="10"/>
      <c r="AX352" s="10"/>
      <c r="AY352" s="10"/>
      <c r="AZ352" s="10"/>
      <c r="BA352" s="10"/>
      <c r="BB352" s="10"/>
    </row>
    <row r="353" spans="28:54" s="12" customFormat="1" x14ac:dyDescent="0.25"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  <c r="AP353" s="10"/>
      <c r="AQ353" s="10"/>
      <c r="AR353" s="10"/>
      <c r="AS353" s="10"/>
      <c r="AT353" s="10"/>
      <c r="AU353" s="10"/>
      <c r="AV353" s="10"/>
      <c r="AW353" s="10"/>
      <c r="AX353" s="10"/>
      <c r="AY353" s="10"/>
      <c r="AZ353" s="10"/>
      <c r="BA353" s="10"/>
      <c r="BB353" s="10"/>
    </row>
    <row r="354" spans="28:54" s="12" customFormat="1" x14ac:dyDescent="0.25"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  <c r="AP354" s="10"/>
      <c r="AQ354" s="10"/>
      <c r="AR354" s="10"/>
      <c r="AS354" s="10"/>
      <c r="AT354" s="10"/>
      <c r="AU354" s="10"/>
      <c r="AV354" s="10"/>
      <c r="AW354" s="10"/>
      <c r="AX354" s="10"/>
      <c r="AY354" s="10"/>
      <c r="AZ354" s="10"/>
      <c r="BA354" s="10"/>
      <c r="BB354" s="10"/>
    </row>
    <row r="355" spans="28:54" s="12" customFormat="1" x14ac:dyDescent="0.25"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  <c r="AP355" s="10"/>
      <c r="AQ355" s="10"/>
      <c r="AR355" s="10"/>
      <c r="AS355" s="10"/>
      <c r="AT355" s="10"/>
      <c r="AU355" s="10"/>
      <c r="AV355" s="10"/>
      <c r="AW355" s="10"/>
      <c r="AX355" s="10"/>
      <c r="AY355" s="10"/>
      <c r="AZ355" s="10"/>
      <c r="BA355" s="10"/>
      <c r="BB355" s="10"/>
    </row>
    <row r="356" spans="28:54" s="12" customFormat="1" x14ac:dyDescent="0.25"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  <c r="AP356" s="10"/>
      <c r="AQ356" s="10"/>
      <c r="AR356" s="10"/>
      <c r="AS356" s="10"/>
      <c r="AT356" s="10"/>
      <c r="AU356" s="10"/>
      <c r="AV356" s="10"/>
      <c r="AW356" s="10"/>
      <c r="AX356" s="10"/>
      <c r="AY356" s="10"/>
      <c r="AZ356" s="10"/>
      <c r="BA356" s="10"/>
      <c r="BB356" s="10"/>
    </row>
    <row r="357" spans="28:54" s="12" customFormat="1" x14ac:dyDescent="0.25"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  <c r="AP357" s="10"/>
      <c r="AQ357" s="10"/>
      <c r="AR357" s="10"/>
      <c r="AS357" s="10"/>
      <c r="AT357" s="10"/>
      <c r="AU357" s="10"/>
      <c r="AV357" s="10"/>
      <c r="AW357" s="10"/>
      <c r="AX357" s="10"/>
      <c r="AY357" s="10"/>
      <c r="AZ357" s="10"/>
      <c r="BA357" s="10"/>
      <c r="BB357" s="10"/>
    </row>
    <row r="358" spans="28:54" s="12" customFormat="1" x14ac:dyDescent="0.25"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  <c r="AP358" s="10"/>
      <c r="AQ358" s="10"/>
      <c r="AR358" s="10"/>
      <c r="AS358" s="10"/>
      <c r="AT358" s="10"/>
      <c r="AU358" s="10"/>
      <c r="AV358" s="10"/>
      <c r="AW358" s="10"/>
      <c r="AX358" s="10"/>
      <c r="AY358" s="10"/>
      <c r="AZ358" s="10"/>
      <c r="BA358" s="10"/>
      <c r="BB358" s="10"/>
    </row>
    <row r="359" spans="28:54" s="12" customFormat="1" x14ac:dyDescent="0.25"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  <c r="AP359" s="10"/>
      <c r="AQ359" s="10"/>
      <c r="AR359" s="10"/>
      <c r="AS359" s="10"/>
      <c r="AT359" s="10"/>
      <c r="AU359" s="10"/>
      <c r="AV359" s="10"/>
      <c r="AW359" s="10"/>
      <c r="AX359" s="10"/>
      <c r="AY359" s="10"/>
      <c r="AZ359" s="10"/>
      <c r="BA359" s="10"/>
      <c r="BB359" s="10"/>
    </row>
    <row r="360" spans="28:54" s="12" customFormat="1" x14ac:dyDescent="0.25"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  <c r="AP360" s="10"/>
      <c r="AQ360" s="10"/>
      <c r="AR360" s="10"/>
      <c r="AS360" s="10"/>
      <c r="AT360" s="10"/>
      <c r="AU360" s="10"/>
      <c r="AV360" s="10"/>
      <c r="AW360" s="10"/>
      <c r="AX360" s="10"/>
      <c r="AY360" s="10"/>
      <c r="AZ360" s="10"/>
      <c r="BA360" s="10"/>
      <c r="BB360" s="10"/>
    </row>
    <row r="361" spans="28:54" s="12" customFormat="1" x14ac:dyDescent="0.25"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  <c r="AP361" s="10"/>
      <c r="AQ361" s="10"/>
      <c r="AR361" s="10"/>
      <c r="AS361" s="10"/>
      <c r="AT361" s="10"/>
      <c r="AU361" s="10"/>
      <c r="AV361" s="10"/>
      <c r="AW361" s="10"/>
      <c r="AX361" s="10"/>
      <c r="AY361" s="10"/>
      <c r="AZ361" s="10"/>
      <c r="BA361" s="10"/>
      <c r="BB361" s="10"/>
    </row>
    <row r="362" spans="28:54" s="12" customFormat="1" x14ac:dyDescent="0.25"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  <c r="AP362" s="10"/>
      <c r="AQ362" s="10"/>
      <c r="AR362" s="10"/>
      <c r="AS362" s="10"/>
      <c r="AT362" s="10"/>
      <c r="AU362" s="10"/>
      <c r="AV362" s="10"/>
      <c r="AW362" s="10"/>
      <c r="AX362" s="10"/>
      <c r="AY362" s="10"/>
      <c r="AZ362" s="10"/>
      <c r="BA362" s="10"/>
      <c r="BB362" s="10"/>
    </row>
    <row r="363" spans="28:54" s="12" customFormat="1" x14ac:dyDescent="0.25"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  <c r="AP363" s="10"/>
      <c r="AQ363" s="10"/>
      <c r="AR363" s="10"/>
      <c r="AS363" s="10"/>
      <c r="AT363" s="10"/>
      <c r="AU363" s="10"/>
      <c r="AV363" s="10"/>
      <c r="AW363" s="10"/>
      <c r="AX363" s="10"/>
      <c r="AY363" s="10"/>
      <c r="AZ363" s="10"/>
      <c r="BA363" s="10"/>
      <c r="BB363" s="10"/>
    </row>
    <row r="364" spans="28:54" s="12" customFormat="1" x14ac:dyDescent="0.25"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  <c r="AP364" s="10"/>
      <c r="AQ364" s="10"/>
      <c r="AR364" s="10"/>
      <c r="AS364" s="10"/>
      <c r="AT364" s="10"/>
      <c r="AU364" s="10"/>
      <c r="AV364" s="10"/>
      <c r="AW364" s="10"/>
      <c r="AX364" s="10"/>
      <c r="AY364" s="10"/>
      <c r="AZ364" s="10"/>
      <c r="BA364" s="10"/>
      <c r="BB364" s="10"/>
    </row>
    <row r="365" spans="28:54" s="12" customFormat="1" x14ac:dyDescent="0.25"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  <c r="AP365" s="10"/>
      <c r="AQ365" s="10"/>
      <c r="AR365" s="10"/>
      <c r="AS365" s="10"/>
      <c r="AT365" s="10"/>
      <c r="AU365" s="10"/>
      <c r="AV365" s="10"/>
      <c r="AW365" s="10"/>
      <c r="AX365" s="10"/>
      <c r="AY365" s="10"/>
      <c r="AZ365" s="10"/>
      <c r="BA365" s="10"/>
      <c r="BB365" s="10"/>
    </row>
    <row r="366" spans="28:54" s="12" customFormat="1" x14ac:dyDescent="0.25"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  <c r="AP366" s="10"/>
      <c r="AQ366" s="10"/>
      <c r="AR366" s="10"/>
      <c r="AS366" s="10"/>
      <c r="AT366" s="10"/>
      <c r="AU366" s="10"/>
      <c r="AV366" s="10"/>
      <c r="AW366" s="10"/>
      <c r="AX366" s="10"/>
      <c r="AY366" s="10"/>
      <c r="AZ366" s="10"/>
      <c r="BA366" s="10"/>
      <c r="BB366" s="10"/>
    </row>
    <row r="367" spans="28:54" s="12" customFormat="1" x14ac:dyDescent="0.25"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"/>
    </row>
    <row r="368" spans="28:54" s="12" customFormat="1" x14ac:dyDescent="0.25"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  <c r="AP368" s="10"/>
      <c r="AQ368" s="10"/>
      <c r="AR368" s="10"/>
      <c r="AS368" s="10"/>
      <c r="AT368" s="10"/>
      <c r="AU368" s="10"/>
      <c r="AV368" s="10"/>
      <c r="AW368" s="10"/>
      <c r="AX368" s="10"/>
      <c r="AY368" s="10"/>
      <c r="AZ368" s="10"/>
      <c r="BA368" s="10"/>
      <c r="BB368" s="10"/>
    </row>
    <row r="369" spans="28:54" s="12" customFormat="1" x14ac:dyDescent="0.25"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  <c r="AP369" s="10"/>
      <c r="AQ369" s="10"/>
      <c r="AR369" s="10"/>
      <c r="AS369" s="10"/>
      <c r="AT369" s="10"/>
      <c r="AU369" s="10"/>
      <c r="AV369" s="10"/>
      <c r="AW369" s="10"/>
      <c r="AX369" s="10"/>
      <c r="AY369" s="10"/>
      <c r="AZ369" s="10"/>
      <c r="BA369" s="10"/>
      <c r="BB369" s="10"/>
    </row>
    <row r="370" spans="28:54" s="12" customFormat="1" x14ac:dyDescent="0.25"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  <c r="AP370" s="10"/>
      <c r="AQ370" s="10"/>
      <c r="AR370" s="10"/>
      <c r="AS370" s="10"/>
      <c r="AT370" s="10"/>
      <c r="AU370" s="10"/>
      <c r="AV370" s="10"/>
      <c r="AW370" s="10"/>
      <c r="AX370" s="10"/>
      <c r="AY370" s="10"/>
      <c r="AZ370" s="10"/>
      <c r="BA370" s="10"/>
      <c r="BB370" s="10"/>
    </row>
    <row r="371" spans="28:54" s="12" customFormat="1" x14ac:dyDescent="0.25"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  <c r="AP371" s="10"/>
      <c r="AQ371" s="10"/>
      <c r="AR371" s="10"/>
      <c r="AS371" s="10"/>
      <c r="AT371" s="10"/>
      <c r="AU371" s="10"/>
      <c r="AV371" s="10"/>
      <c r="AW371" s="10"/>
      <c r="AX371" s="10"/>
      <c r="AY371" s="10"/>
      <c r="AZ371" s="10"/>
      <c r="BA371" s="10"/>
      <c r="BB371" s="10"/>
    </row>
    <row r="372" spans="28:54" s="12" customFormat="1" x14ac:dyDescent="0.25"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  <c r="AP372" s="10"/>
      <c r="AQ372" s="10"/>
      <c r="AR372" s="10"/>
      <c r="AS372" s="10"/>
      <c r="AT372" s="10"/>
      <c r="AU372" s="10"/>
      <c r="AV372" s="10"/>
      <c r="AW372" s="10"/>
      <c r="AX372" s="10"/>
      <c r="AY372" s="10"/>
      <c r="AZ372" s="10"/>
      <c r="BA372" s="10"/>
      <c r="BB372" s="10"/>
    </row>
    <row r="373" spans="28:54" s="12" customFormat="1" x14ac:dyDescent="0.25"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  <c r="AP373" s="10"/>
      <c r="AQ373" s="10"/>
      <c r="AR373" s="10"/>
      <c r="AS373" s="10"/>
      <c r="AT373" s="10"/>
      <c r="AU373" s="10"/>
      <c r="AV373" s="10"/>
      <c r="AW373" s="10"/>
      <c r="AX373" s="10"/>
      <c r="AY373" s="10"/>
      <c r="AZ373" s="10"/>
      <c r="BA373" s="10"/>
      <c r="BB373" s="10"/>
    </row>
    <row r="374" spans="28:54" s="12" customFormat="1" x14ac:dyDescent="0.25"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  <c r="AP374" s="10"/>
      <c r="AQ374" s="10"/>
      <c r="AR374" s="10"/>
      <c r="AS374" s="10"/>
      <c r="AT374" s="10"/>
      <c r="AU374" s="10"/>
      <c r="AV374" s="10"/>
      <c r="AW374" s="10"/>
      <c r="AX374" s="10"/>
      <c r="AY374" s="10"/>
      <c r="AZ374" s="10"/>
      <c r="BA374" s="10"/>
      <c r="BB374" s="10"/>
    </row>
    <row r="375" spans="28:54" s="12" customFormat="1" x14ac:dyDescent="0.25"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  <c r="AP375" s="10"/>
      <c r="AQ375" s="10"/>
      <c r="AR375" s="10"/>
      <c r="AS375" s="10"/>
      <c r="AT375" s="10"/>
      <c r="AU375" s="10"/>
      <c r="AV375" s="10"/>
      <c r="AW375" s="10"/>
      <c r="AX375" s="10"/>
      <c r="AY375" s="10"/>
      <c r="AZ375" s="10"/>
      <c r="BA375" s="10"/>
      <c r="BB375" s="10"/>
    </row>
    <row r="376" spans="28:54" s="12" customFormat="1" x14ac:dyDescent="0.25"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  <c r="AP376" s="10"/>
      <c r="AQ376" s="10"/>
      <c r="AR376" s="10"/>
      <c r="AS376" s="10"/>
      <c r="AT376" s="10"/>
      <c r="AU376" s="10"/>
      <c r="AV376" s="10"/>
      <c r="AW376" s="10"/>
      <c r="AX376" s="10"/>
      <c r="AY376" s="10"/>
      <c r="AZ376" s="10"/>
      <c r="BA376" s="10"/>
      <c r="BB376" s="10"/>
    </row>
    <row r="377" spans="28:54" s="12" customFormat="1" x14ac:dyDescent="0.25"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  <c r="AP377" s="10"/>
      <c r="AQ377" s="10"/>
      <c r="AR377" s="10"/>
      <c r="AS377" s="10"/>
      <c r="AT377" s="10"/>
      <c r="AU377" s="10"/>
      <c r="AV377" s="10"/>
      <c r="AW377" s="10"/>
      <c r="AX377" s="10"/>
      <c r="AY377" s="10"/>
      <c r="AZ377" s="10"/>
      <c r="BA377" s="10"/>
      <c r="BB377" s="10"/>
    </row>
    <row r="378" spans="28:54" s="12" customFormat="1" x14ac:dyDescent="0.25"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  <c r="AP378" s="10"/>
      <c r="AQ378" s="10"/>
      <c r="AR378" s="10"/>
      <c r="AS378" s="10"/>
      <c r="AT378" s="10"/>
      <c r="AU378" s="10"/>
      <c r="AV378" s="10"/>
      <c r="AW378" s="10"/>
      <c r="AX378" s="10"/>
      <c r="AY378" s="10"/>
      <c r="AZ378" s="10"/>
      <c r="BA378" s="10"/>
      <c r="BB378" s="10"/>
    </row>
    <row r="379" spans="28:54" s="12" customFormat="1" x14ac:dyDescent="0.25"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  <c r="AP379" s="10"/>
      <c r="AQ379" s="10"/>
      <c r="AR379" s="10"/>
      <c r="AS379" s="10"/>
      <c r="AT379" s="10"/>
      <c r="AU379" s="10"/>
      <c r="AV379" s="10"/>
      <c r="AW379" s="10"/>
      <c r="AX379" s="10"/>
      <c r="AY379" s="10"/>
      <c r="AZ379" s="10"/>
      <c r="BA379" s="10"/>
      <c r="BB379" s="10"/>
    </row>
    <row r="380" spans="28:54" s="12" customFormat="1" x14ac:dyDescent="0.25"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  <c r="AP380" s="10"/>
      <c r="AQ380" s="10"/>
      <c r="AR380" s="10"/>
      <c r="AS380" s="10"/>
      <c r="AT380" s="10"/>
      <c r="AU380" s="10"/>
      <c r="AV380" s="10"/>
      <c r="AW380" s="10"/>
      <c r="AX380" s="10"/>
      <c r="AY380" s="10"/>
      <c r="AZ380" s="10"/>
      <c r="BA380" s="10"/>
      <c r="BB380" s="10"/>
    </row>
    <row r="381" spans="28:54" s="12" customFormat="1" x14ac:dyDescent="0.25"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  <c r="AP381" s="10"/>
      <c r="AQ381" s="10"/>
      <c r="AR381" s="10"/>
      <c r="AS381" s="10"/>
      <c r="AT381" s="10"/>
      <c r="AU381" s="10"/>
      <c r="AV381" s="10"/>
      <c r="AW381" s="10"/>
      <c r="AX381" s="10"/>
      <c r="AY381" s="10"/>
      <c r="AZ381" s="10"/>
      <c r="BA381" s="10"/>
      <c r="BB381" s="10"/>
    </row>
    <row r="382" spans="28:54" s="12" customFormat="1" x14ac:dyDescent="0.25"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  <c r="AP382" s="10"/>
      <c r="AQ382" s="10"/>
      <c r="AR382" s="10"/>
      <c r="AS382" s="10"/>
      <c r="AT382" s="10"/>
      <c r="AU382" s="10"/>
      <c r="AV382" s="10"/>
      <c r="AW382" s="10"/>
      <c r="AX382" s="10"/>
      <c r="AY382" s="10"/>
      <c r="AZ382" s="10"/>
      <c r="BA382" s="10"/>
      <c r="BB382" s="10"/>
    </row>
    <row r="383" spans="28:54" s="12" customFormat="1" x14ac:dyDescent="0.25"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  <c r="AP383" s="10"/>
      <c r="AQ383" s="10"/>
      <c r="AR383" s="10"/>
      <c r="AS383" s="10"/>
      <c r="AT383" s="10"/>
      <c r="AU383" s="10"/>
      <c r="AV383" s="10"/>
      <c r="AW383" s="10"/>
      <c r="AX383" s="10"/>
      <c r="AY383" s="10"/>
      <c r="AZ383" s="10"/>
      <c r="BA383" s="10"/>
      <c r="BB383" s="10"/>
    </row>
    <row r="384" spans="28:54" s="12" customFormat="1" x14ac:dyDescent="0.25"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"/>
    </row>
    <row r="385" spans="28:54" s="12" customFormat="1" x14ac:dyDescent="0.25"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  <c r="AP385" s="10"/>
      <c r="AQ385" s="10"/>
      <c r="AR385" s="10"/>
      <c r="AS385" s="10"/>
      <c r="AT385" s="10"/>
      <c r="AU385" s="10"/>
      <c r="AV385" s="10"/>
      <c r="AW385" s="10"/>
      <c r="AX385" s="10"/>
      <c r="AY385" s="10"/>
      <c r="AZ385" s="10"/>
      <c r="BA385" s="10"/>
      <c r="BB385" s="10"/>
    </row>
    <row r="386" spans="28:54" s="12" customFormat="1" x14ac:dyDescent="0.25"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  <c r="AP386" s="10"/>
      <c r="AQ386" s="10"/>
      <c r="AR386" s="10"/>
      <c r="AS386" s="10"/>
      <c r="AT386" s="10"/>
      <c r="AU386" s="10"/>
      <c r="AV386" s="10"/>
      <c r="AW386" s="10"/>
      <c r="AX386" s="10"/>
      <c r="AY386" s="10"/>
      <c r="AZ386" s="10"/>
      <c r="BA386" s="10"/>
      <c r="BB386" s="10"/>
    </row>
    <row r="387" spans="28:54" s="12" customFormat="1" x14ac:dyDescent="0.25"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  <c r="AP387" s="10"/>
      <c r="AQ387" s="10"/>
      <c r="AR387" s="10"/>
      <c r="AS387" s="10"/>
      <c r="AT387" s="10"/>
      <c r="AU387" s="10"/>
      <c r="AV387" s="10"/>
      <c r="AW387" s="10"/>
      <c r="AX387" s="10"/>
      <c r="AY387" s="10"/>
      <c r="AZ387" s="10"/>
      <c r="BA387" s="10"/>
      <c r="BB387" s="10"/>
    </row>
    <row r="388" spans="28:54" s="12" customFormat="1" x14ac:dyDescent="0.25"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  <c r="AP388" s="10"/>
      <c r="AQ388" s="10"/>
      <c r="AR388" s="10"/>
      <c r="AS388" s="10"/>
      <c r="AT388" s="10"/>
      <c r="AU388" s="10"/>
      <c r="AV388" s="10"/>
      <c r="AW388" s="10"/>
      <c r="AX388" s="10"/>
      <c r="AY388" s="10"/>
      <c r="AZ388" s="10"/>
      <c r="BA388" s="10"/>
      <c r="BB388" s="10"/>
    </row>
    <row r="389" spans="28:54" s="12" customFormat="1" x14ac:dyDescent="0.25"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  <c r="AP389" s="10"/>
      <c r="AQ389" s="10"/>
      <c r="AR389" s="10"/>
      <c r="AS389" s="10"/>
      <c r="AT389" s="10"/>
      <c r="AU389" s="10"/>
      <c r="AV389" s="10"/>
      <c r="AW389" s="10"/>
      <c r="AX389" s="10"/>
      <c r="AY389" s="10"/>
      <c r="AZ389" s="10"/>
      <c r="BA389" s="10"/>
      <c r="BB389" s="10"/>
    </row>
    <row r="390" spans="28:54" s="12" customFormat="1" x14ac:dyDescent="0.25"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  <c r="AP390" s="10"/>
      <c r="AQ390" s="10"/>
      <c r="AR390" s="10"/>
      <c r="AS390" s="10"/>
      <c r="AT390" s="10"/>
      <c r="AU390" s="10"/>
      <c r="AV390" s="10"/>
      <c r="AW390" s="10"/>
      <c r="AX390" s="10"/>
      <c r="AY390" s="10"/>
      <c r="AZ390" s="10"/>
      <c r="BA390" s="10"/>
      <c r="BB390" s="10"/>
    </row>
    <row r="391" spans="28:54" s="12" customFormat="1" x14ac:dyDescent="0.25"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  <c r="AP391" s="10"/>
      <c r="AQ391" s="10"/>
      <c r="AR391" s="10"/>
      <c r="AS391" s="10"/>
      <c r="AT391" s="10"/>
      <c r="AU391" s="10"/>
      <c r="AV391" s="10"/>
      <c r="AW391" s="10"/>
      <c r="AX391" s="10"/>
      <c r="AY391" s="10"/>
      <c r="AZ391" s="10"/>
      <c r="BA391" s="10"/>
      <c r="BB391" s="10"/>
    </row>
    <row r="392" spans="28:54" s="12" customFormat="1" x14ac:dyDescent="0.25"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  <c r="AP392" s="10"/>
      <c r="AQ392" s="10"/>
      <c r="AR392" s="10"/>
      <c r="AS392" s="10"/>
      <c r="AT392" s="10"/>
      <c r="AU392" s="10"/>
      <c r="AV392" s="10"/>
      <c r="AW392" s="10"/>
      <c r="AX392" s="10"/>
      <c r="AY392" s="10"/>
      <c r="AZ392" s="10"/>
      <c r="BA392" s="10"/>
      <c r="BB392" s="10"/>
    </row>
    <row r="393" spans="28:54" s="12" customFormat="1" x14ac:dyDescent="0.25"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  <c r="AP393" s="10"/>
      <c r="AQ393" s="10"/>
      <c r="AR393" s="10"/>
      <c r="AS393" s="10"/>
      <c r="AT393" s="10"/>
      <c r="AU393" s="10"/>
      <c r="AV393" s="10"/>
      <c r="AW393" s="10"/>
      <c r="AX393" s="10"/>
      <c r="AY393" s="10"/>
      <c r="AZ393" s="10"/>
      <c r="BA393" s="10"/>
      <c r="BB393" s="10"/>
    </row>
    <row r="394" spans="28:54" s="12" customFormat="1" x14ac:dyDescent="0.25"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  <c r="AP394" s="10"/>
      <c r="AQ394" s="10"/>
      <c r="AR394" s="10"/>
      <c r="AS394" s="10"/>
      <c r="AT394" s="10"/>
      <c r="AU394" s="10"/>
      <c r="AV394" s="10"/>
      <c r="AW394" s="10"/>
      <c r="AX394" s="10"/>
      <c r="AY394" s="10"/>
      <c r="AZ394" s="10"/>
      <c r="BA394" s="10"/>
      <c r="BB394" s="10"/>
    </row>
    <row r="395" spans="28:54" s="12" customFormat="1" x14ac:dyDescent="0.25"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  <c r="AP395" s="10"/>
      <c r="AQ395" s="10"/>
      <c r="AR395" s="10"/>
      <c r="AS395" s="10"/>
      <c r="AT395" s="10"/>
      <c r="AU395" s="10"/>
      <c r="AV395" s="10"/>
      <c r="AW395" s="10"/>
      <c r="AX395" s="10"/>
      <c r="AY395" s="10"/>
      <c r="AZ395" s="10"/>
      <c r="BA395" s="10"/>
      <c r="BB395" s="10"/>
    </row>
    <row r="396" spans="28:54" s="12" customFormat="1" x14ac:dyDescent="0.25"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  <c r="AP396" s="10"/>
      <c r="AQ396" s="10"/>
      <c r="AR396" s="10"/>
      <c r="AS396" s="10"/>
      <c r="AT396" s="10"/>
      <c r="AU396" s="10"/>
      <c r="AV396" s="10"/>
      <c r="AW396" s="10"/>
      <c r="AX396" s="10"/>
      <c r="AY396" s="10"/>
      <c r="AZ396" s="10"/>
      <c r="BA396" s="10"/>
      <c r="BB396" s="10"/>
    </row>
    <row r="397" spans="28:54" s="12" customFormat="1" x14ac:dyDescent="0.25"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  <c r="AP397" s="10"/>
      <c r="AQ397" s="10"/>
      <c r="AR397" s="10"/>
      <c r="AS397" s="10"/>
      <c r="AT397" s="10"/>
      <c r="AU397" s="10"/>
      <c r="AV397" s="10"/>
      <c r="AW397" s="10"/>
      <c r="AX397" s="10"/>
      <c r="AY397" s="10"/>
      <c r="AZ397" s="10"/>
      <c r="BA397" s="10"/>
      <c r="BB397" s="10"/>
    </row>
    <row r="398" spans="28:54" s="12" customFormat="1" x14ac:dyDescent="0.25"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  <c r="AP398" s="10"/>
      <c r="AQ398" s="10"/>
      <c r="AR398" s="10"/>
      <c r="AS398" s="10"/>
      <c r="AT398" s="10"/>
      <c r="AU398" s="10"/>
      <c r="AV398" s="10"/>
      <c r="AW398" s="10"/>
      <c r="AX398" s="10"/>
      <c r="AY398" s="10"/>
      <c r="AZ398" s="10"/>
      <c r="BA398" s="10"/>
      <c r="BB398" s="10"/>
    </row>
    <row r="399" spans="28:54" s="12" customFormat="1" x14ac:dyDescent="0.25"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  <c r="AP399" s="10"/>
      <c r="AQ399" s="10"/>
      <c r="AR399" s="10"/>
      <c r="AS399" s="10"/>
      <c r="AT399" s="10"/>
      <c r="AU399" s="10"/>
      <c r="AV399" s="10"/>
      <c r="AW399" s="10"/>
      <c r="AX399" s="10"/>
      <c r="AY399" s="10"/>
      <c r="AZ399" s="10"/>
      <c r="BA399" s="10"/>
      <c r="BB399" s="10"/>
    </row>
    <row r="400" spans="28:54" s="12" customFormat="1" x14ac:dyDescent="0.25"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"/>
    </row>
    <row r="401" spans="28:54" s="12" customFormat="1" x14ac:dyDescent="0.25"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  <c r="AP401" s="10"/>
      <c r="AQ401" s="10"/>
      <c r="AR401" s="10"/>
      <c r="AS401" s="10"/>
      <c r="AT401" s="10"/>
      <c r="AU401" s="10"/>
      <c r="AV401" s="10"/>
      <c r="AW401" s="10"/>
      <c r="AX401" s="10"/>
      <c r="AY401" s="10"/>
      <c r="AZ401" s="10"/>
      <c r="BA401" s="10"/>
      <c r="BB401" s="10"/>
    </row>
    <row r="402" spans="28:54" s="12" customFormat="1" x14ac:dyDescent="0.25"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  <c r="AP402" s="10"/>
      <c r="AQ402" s="10"/>
      <c r="AR402" s="10"/>
      <c r="AS402" s="10"/>
      <c r="AT402" s="10"/>
      <c r="AU402" s="10"/>
      <c r="AV402" s="10"/>
      <c r="AW402" s="10"/>
      <c r="AX402" s="10"/>
      <c r="AY402" s="10"/>
      <c r="AZ402" s="10"/>
      <c r="BA402" s="10"/>
      <c r="BB402" s="10"/>
    </row>
    <row r="403" spans="28:54" s="12" customFormat="1" x14ac:dyDescent="0.25"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  <c r="AP403" s="10"/>
      <c r="AQ403" s="10"/>
      <c r="AR403" s="10"/>
      <c r="AS403" s="10"/>
      <c r="AT403" s="10"/>
      <c r="AU403" s="10"/>
      <c r="AV403" s="10"/>
      <c r="AW403" s="10"/>
      <c r="AX403" s="10"/>
      <c r="AY403" s="10"/>
      <c r="AZ403" s="10"/>
      <c r="BA403" s="10"/>
      <c r="BB403" s="10"/>
    </row>
    <row r="404" spans="28:54" s="12" customFormat="1" x14ac:dyDescent="0.25"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  <c r="AP404" s="10"/>
      <c r="AQ404" s="10"/>
      <c r="AR404" s="10"/>
      <c r="AS404" s="10"/>
      <c r="AT404" s="10"/>
      <c r="AU404" s="10"/>
      <c r="AV404" s="10"/>
      <c r="AW404" s="10"/>
      <c r="AX404" s="10"/>
      <c r="AY404" s="10"/>
      <c r="AZ404" s="10"/>
      <c r="BA404" s="10"/>
      <c r="BB404" s="10"/>
    </row>
    <row r="405" spans="28:54" s="12" customFormat="1" x14ac:dyDescent="0.25"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  <c r="AP405" s="10"/>
      <c r="AQ405" s="10"/>
      <c r="AR405" s="10"/>
      <c r="AS405" s="10"/>
      <c r="AT405" s="10"/>
      <c r="AU405" s="10"/>
      <c r="AV405" s="10"/>
      <c r="AW405" s="10"/>
      <c r="AX405" s="10"/>
      <c r="AY405" s="10"/>
      <c r="AZ405" s="10"/>
      <c r="BA405" s="10"/>
      <c r="BB405" s="10"/>
    </row>
    <row r="406" spans="28:54" s="12" customFormat="1" x14ac:dyDescent="0.25"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  <c r="AP406" s="10"/>
      <c r="AQ406" s="10"/>
      <c r="AR406" s="10"/>
      <c r="AS406" s="10"/>
      <c r="AT406" s="10"/>
      <c r="AU406" s="10"/>
      <c r="AV406" s="10"/>
      <c r="AW406" s="10"/>
      <c r="AX406" s="10"/>
      <c r="AY406" s="10"/>
      <c r="AZ406" s="10"/>
      <c r="BA406" s="10"/>
      <c r="BB406" s="10"/>
    </row>
    <row r="407" spans="28:54" s="12" customFormat="1" x14ac:dyDescent="0.25"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  <c r="AP407" s="10"/>
      <c r="AQ407" s="10"/>
      <c r="AR407" s="10"/>
      <c r="AS407" s="10"/>
      <c r="AT407" s="10"/>
      <c r="AU407" s="10"/>
      <c r="AV407" s="10"/>
      <c r="AW407" s="10"/>
      <c r="AX407" s="10"/>
      <c r="AY407" s="10"/>
      <c r="AZ407" s="10"/>
      <c r="BA407" s="10"/>
      <c r="BB407" s="10"/>
    </row>
    <row r="408" spans="28:54" s="12" customFormat="1" x14ac:dyDescent="0.25"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  <c r="AP408" s="10"/>
      <c r="AQ408" s="10"/>
      <c r="AR408" s="10"/>
      <c r="AS408" s="10"/>
      <c r="AT408" s="10"/>
      <c r="AU408" s="10"/>
      <c r="AV408" s="10"/>
      <c r="AW408" s="10"/>
      <c r="AX408" s="10"/>
      <c r="AY408" s="10"/>
      <c r="AZ408" s="10"/>
      <c r="BA408" s="10"/>
      <c r="BB408" s="10"/>
    </row>
    <row r="409" spans="28:54" s="12" customFormat="1" x14ac:dyDescent="0.25"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  <c r="AP409" s="10"/>
      <c r="AQ409" s="10"/>
      <c r="AR409" s="10"/>
      <c r="AS409" s="10"/>
      <c r="AT409" s="10"/>
      <c r="AU409" s="10"/>
      <c r="AV409" s="10"/>
      <c r="AW409" s="10"/>
      <c r="AX409" s="10"/>
      <c r="AY409" s="10"/>
      <c r="AZ409" s="10"/>
      <c r="BA409" s="10"/>
      <c r="BB409" s="10"/>
    </row>
    <row r="410" spans="28:54" s="12" customFormat="1" x14ac:dyDescent="0.25"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  <c r="AP410" s="10"/>
      <c r="AQ410" s="10"/>
      <c r="AR410" s="10"/>
      <c r="AS410" s="10"/>
      <c r="AT410" s="10"/>
      <c r="AU410" s="10"/>
      <c r="AV410" s="10"/>
      <c r="AW410" s="10"/>
      <c r="AX410" s="10"/>
      <c r="AY410" s="10"/>
      <c r="AZ410" s="10"/>
      <c r="BA410" s="10"/>
      <c r="BB410" s="10"/>
    </row>
    <row r="411" spans="28:54" s="12" customFormat="1" x14ac:dyDescent="0.25"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  <c r="AP411" s="10"/>
      <c r="AQ411" s="10"/>
      <c r="AR411" s="10"/>
      <c r="AS411" s="10"/>
      <c r="AT411" s="10"/>
      <c r="AU411" s="10"/>
      <c r="AV411" s="10"/>
      <c r="AW411" s="10"/>
      <c r="AX411" s="10"/>
      <c r="AY411" s="10"/>
      <c r="AZ411" s="10"/>
      <c r="BA411" s="10"/>
      <c r="BB411" s="10"/>
    </row>
    <row r="412" spans="28:54" s="12" customFormat="1" x14ac:dyDescent="0.25"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  <c r="AP412" s="10"/>
      <c r="AQ412" s="10"/>
      <c r="AR412" s="10"/>
      <c r="AS412" s="10"/>
      <c r="AT412" s="10"/>
      <c r="AU412" s="10"/>
      <c r="AV412" s="10"/>
      <c r="AW412" s="10"/>
      <c r="AX412" s="10"/>
      <c r="AY412" s="10"/>
      <c r="AZ412" s="10"/>
      <c r="BA412" s="10"/>
      <c r="BB412" s="10"/>
    </row>
    <row r="413" spans="28:54" s="12" customFormat="1" x14ac:dyDescent="0.25"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  <c r="AP413" s="10"/>
      <c r="AQ413" s="10"/>
      <c r="AR413" s="10"/>
      <c r="AS413" s="10"/>
      <c r="AT413" s="10"/>
      <c r="AU413" s="10"/>
      <c r="AV413" s="10"/>
      <c r="AW413" s="10"/>
      <c r="AX413" s="10"/>
      <c r="AY413" s="10"/>
      <c r="AZ413" s="10"/>
      <c r="BA413" s="10"/>
      <c r="BB413" s="10"/>
    </row>
    <row r="414" spans="28:54" s="12" customFormat="1" x14ac:dyDescent="0.25"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  <c r="AP414" s="10"/>
      <c r="AQ414" s="10"/>
      <c r="AR414" s="10"/>
      <c r="AS414" s="10"/>
      <c r="AT414" s="10"/>
      <c r="AU414" s="10"/>
      <c r="AV414" s="10"/>
      <c r="AW414" s="10"/>
      <c r="AX414" s="10"/>
      <c r="AY414" s="10"/>
      <c r="AZ414" s="10"/>
      <c r="BA414" s="10"/>
      <c r="BB414" s="10"/>
    </row>
    <row r="415" spans="28:54" s="12" customFormat="1" x14ac:dyDescent="0.25"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  <c r="AP415" s="10"/>
      <c r="AQ415" s="10"/>
      <c r="AR415" s="10"/>
      <c r="AS415" s="10"/>
      <c r="AT415" s="10"/>
      <c r="AU415" s="10"/>
      <c r="AV415" s="10"/>
      <c r="AW415" s="10"/>
      <c r="AX415" s="10"/>
      <c r="AY415" s="10"/>
      <c r="AZ415" s="10"/>
      <c r="BA415" s="10"/>
      <c r="BB415" s="10"/>
    </row>
    <row r="416" spans="28:54" s="12" customFormat="1" x14ac:dyDescent="0.25"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  <c r="AP416" s="10"/>
      <c r="AQ416" s="10"/>
      <c r="AR416" s="10"/>
      <c r="AS416" s="10"/>
      <c r="AT416" s="10"/>
      <c r="AU416" s="10"/>
      <c r="AV416" s="10"/>
      <c r="AW416" s="10"/>
      <c r="AX416" s="10"/>
      <c r="AY416" s="10"/>
      <c r="AZ416" s="10"/>
      <c r="BA416" s="10"/>
      <c r="BB416" s="10"/>
    </row>
    <row r="417" spans="28:54" s="12" customFormat="1" x14ac:dyDescent="0.25"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  <c r="AP417" s="10"/>
      <c r="AQ417" s="10"/>
      <c r="AR417" s="10"/>
      <c r="AS417" s="10"/>
      <c r="AT417" s="10"/>
      <c r="AU417" s="10"/>
      <c r="AV417" s="10"/>
      <c r="AW417" s="10"/>
      <c r="AX417" s="10"/>
      <c r="AY417" s="10"/>
      <c r="AZ417" s="10"/>
      <c r="BA417" s="10"/>
      <c r="BB417" s="10"/>
    </row>
    <row r="418" spans="28:54" s="12" customFormat="1" x14ac:dyDescent="0.25"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"/>
    </row>
    <row r="419" spans="28:54" s="12" customFormat="1" x14ac:dyDescent="0.25"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  <c r="AP419" s="10"/>
      <c r="AQ419" s="10"/>
      <c r="AR419" s="10"/>
      <c r="AS419" s="10"/>
      <c r="AT419" s="10"/>
      <c r="AU419" s="10"/>
      <c r="AV419" s="10"/>
      <c r="AW419" s="10"/>
      <c r="AX419" s="10"/>
      <c r="AY419" s="10"/>
      <c r="AZ419" s="10"/>
      <c r="BA419" s="10"/>
      <c r="BB419" s="10"/>
    </row>
    <row r="420" spans="28:54" s="12" customFormat="1" x14ac:dyDescent="0.25"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  <c r="AP420" s="10"/>
      <c r="AQ420" s="10"/>
      <c r="AR420" s="10"/>
      <c r="AS420" s="10"/>
      <c r="AT420" s="10"/>
      <c r="AU420" s="10"/>
      <c r="AV420" s="10"/>
      <c r="AW420" s="10"/>
      <c r="AX420" s="10"/>
      <c r="AY420" s="10"/>
      <c r="AZ420" s="10"/>
      <c r="BA420" s="10"/>
      <c r="BB420" s="10"/>
    </row>
    <row r="421" spans="28:54" s="12" customFormat="1" x14ac:dyDescent="0.25"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  <c r="AP421" s="10"/>
      <c r="AQ421" s="10"/>
      <c r="AR421" s="10"/>
      <c r="AS421" s="10"/>
      <c r="AT421" s="10"/>
      <c r="AU421" s="10"/>
      <c r="AV421" s="10"/>
      <c r="AW421" s="10"/>
      <c r="AX421" s="10"/>
      <c r="AY421" s="10"/>
      <c r="AZ421" s="10"/>
      <c r="BA421" s="10"/>
      <c r="BB421" s="10"/>
    </row>
    <row r="422" spans="28:54" s="12" customFormat="1" x14ac:dyDescent="0.25">
      <c r="AB422" s="10"/>
      <c r="AC422" s="10"/>
      <c r="AD422" s="10"/>
      <c r="AE422" s="10"/>
      <c r="AF422" s="10"/>
      <c r="AG422" s="10"/>
      <c r="AH422" s="10"/>
      <c r="AI422" s="10"/>
      <c r="AJ422" s="10"/>
      <c r="AK422" s="10"/>
      <c r="AL422" s="10"/>
      <c r="AM422" s="10"/>
      <c r="AN422" s="10"/>
      <c r="AO422" s="10"/>
      <c r="AP422" s="10"/>
      <c r="AQ422" s="10"/>
      <c r="AR422" s="10"/>
      <c r="AS422" s="10"/>
      <c r="AT422" s="10"/>
      <c r="AU422" s="10"/>
      <c r="AV422" s="10"/>
      <c r="AW422" s="10"/>
      <c r="AX422" s="10"/>
      <c r="AY422" s="10"/>
      <c r="AZ422" s="10"/>
      <c r="BA422" s="10"/>
      <c r="BB422" s="10"/>
    </row>
    <row r="423" spans="28:54" s="12" customFormat="1" x14ac:dyDescent="0.25">
      <c r="AB423" s="10"/>
      <c r="AC423" s="10"/>
      <c r="AD423" s="10"/>
      <c r="AE423" s="10"/>
      <c r="AF423" s="10"/>
      <c r="AG423" s="10"/>
      <c r="AH423" s="10"/>
      <c r="AI423" s="10"/>
      <c r="AJ423" s="10"/>
      <c r="AK423" s="10"/>
      <c r="AL423" s="10"/>
      <c r="AM423" s="10"/>
      <c r="AN423" s="10"/>
      <c r="AO423" s="10"/>
      <c r="AP423" s="10"/>
      <c r="AQ423" s="10"/>
      <c r="AR423" s="10"/>
      <c r="AS423" s="10"/>
      <c r="AT423" s="10"/>
      <c r="AU423" s="10"/>
      <c r="AV423" s="10"/>
      <c r="AW423" s="10"/>
      <c r="AX423" s="10"/>
      <c r="AY423" s="10"/>
      <c r="AZ423" s="10"/>
      <c r="BA423" s="10"/>
      <c r="BB423" s="10"/>
    </row>
    <row r="424" spans="28:54" s="12" customFormat="1" x14ac:dyDescent="0.25">
      <c r="AB424" s="10"/>
      <c r="AC424" s="10"/>
      <c r="AD424" s="10"/>
      <c r="AE424" s="10"/>
      <c r="AF424" s="10"/>
      <c r="AG424" s="10"/>
      <c r="AH424" s="10"/>
      <c r="AI424" s="10"/>
      <c r="AJ424" s="10"/>
      <c r="AK424" s="10"/>
      <c r="AL424" s="10"/>
      <c r="AM424" s="10"/>
      <c r="AN424" s="10"/>
      <c r="AO424" s="10"/>
      <c r="AP424" s="10"/>
      <c r="AQ424" s="10"/>
      <c r="AR424" s="10"/>
      <c r="AS424" s="10"/>
      <c r="AT424" s="10"/>
      <c r="AU424" s="10"/>
      <c r="AV424" s="10"/>
      <c r="AW424" s="10"/>
      <c r="AX424" s="10"/>
      <c r="AY424" s="10"/>
      <c r="AZ424" s="10"/>
      <c r="BA424" s="10"/>
      <c r="BB424" s="10"/>
    </row>
    <row r="425" spans="28:54" s="12" customFormat="1" x14ac:dyDescent="0.25">
      <c r="AB425" s="10"/>
      <c r="AC425" s="10"/>
      <c r="AD425" s="10"/>
      <c r="AE425" s="10"/>
      <c r="AF425" s="10"/>
      <c r="AG425" s="10"/>
      <c r="AH425" s="10"/>
      <c r="AI425" s="10"/>
      <c r="AJ425" s="10"/>
      <c r="AK425" s="10"/>
      <c r="AL425" s="10"/>
      <c r="AM425" s="10"/>
      <c r="AN425" s="10"/>
      <c r="AO425" s="10"/>
      <c r="AP425" s="10"/>
      <c r="AQ425" s="10"/>
      <c r="AR425" s="10"/>
      <c r="AS425" s="10"/>
      <c r="AT425" s="10"/>
      <c r="AU425" s="10"/>
      <c r="AV425" s="10"/>
      <c r="AW425" s="10"/>
      <c r="AX425" s="10"/>
      <c r="AY425" s="10"/>
      <c r="AZ425" s="10"/>
      <c r="BA425" s="10"/>
      <c r="BB425" s="10"/>
    </row>
    <row r="426" spans="28:54" s="12" customFormat="1" x14ac:dyDescent="0.25">
      <c r="AB426" s="10"/>
      <c r="AC426" s="10"/>
      <c r="AD426" s="10"/>
      <c r="AE426" s="10"/>
      <c r="AF426" s="10"/>
      <c r="AG426" s="10"/>
      <c r="AH426" s="10"/>
      <c r="AI426" s="10"/>
      <c r="AJ426" s="10"/>
      <c r="AK426" s="10"/>
      <c r="AL426" s="10"/>
      <c r="AM426" s="10"/>
      <c r="AN426" s="10"/>
      <c r="AO426" s="10"/>
      <c r="AP426" s="10"/>
      <c r="AQ426" s="10"/>
      <c r="AR426" s="10"/>
      <c r="AS426" s="10"/>
      <c r="AT426" s="10"/>
      <c r="AU426" s="10"/>
      <c r="AV426" s="10"/>
      <c r="AW426" s="10"/>
      <c r="AX426" s="10"/>
      <c r="AY426" s="10"/>
      <c r="AZ426" s="10"/>
      <c r="BA426" s="10"/>
      <c r="BB426" s="10"/>
    </row>
    <row r="427" spans="28:54" s="12" customFormat="1" x14ac:dyDescent="0.25">
      <c r="AB427" s="10"/>
      <c r="AC427" s="10"/>
      <c r="AD427" s="10"/>
      <c r="AE427" s="10"/>
      <c r="AF427" s="10"/>
      <c r="AG427" s="10"/>
      <c r="AH427" s="10"/>
      <c r="AI427" s="10"/>
      <c r="AJ427" s="10"/>
      <c r="AK427" s="10"/>
      <c r="AL427" s="10"/>
      <c r="AM427" s="10"/>
      <c r="AN427" s="10"/>
      <c r="AO427" s="10"/>
      <c r="AP427" s="10"/>
      <c r="AQ427" s="10"/>
      <c r="AR427" s="10"/>
      <c r="AS427" s="10"/>
      <c r="AT427" s="10"/>
      <c r="AU427" s="10"/>
      <c r="AV427" s="10"/>
      <c r="AW427" s="10"/>
      <c r="AX427" s="10"/>
      <c r="AY427" s="10"/>
      <c r="AZ427" s="10"/>
      <c r="BA427" s="10"/>
      <c r="BB427" s="10"/>
    </row>
    <row r="428" spans="28:54" s="12" customFormat="1" x14ac:dyDescent="0.25">
      <c r="AB428" s="10"/>
      <c r="AC428" s="10"/>
      <c r="AD428" s="10"/>
      <c r="AE428" s="10"/>
      <c r="AF428" s="10"/>
      <c r="AG428" s="10"/>
      <c r="AH428" s="10"/>
      <c r="AI428" s="10"/>
      <c r="AJ428" s="10"/>
      <c r="AK428" s="10"/>
      <c r="AL428" s="10"/>
      <c r="AM428" s="10"/>
      <c r="AN428" s="10"/>
      <c r="AO428" s="10"/>
      <c r="AP428" s="10"/>
      <c r="AQ428" s="10"/>
      <c r="AR428" s="10"/>
      <c r="AS428" s="10"/>
      <c r="AT428" s="10"/>
      <c r="AU428" s="10"/>
      <c r="AV428" s="10"/>
      <c r="AW428" s="10"/>
      <c r="AX428" s="10"/>
      <c r="AY428" s="10"/>
      <c r="AZ428" s="10"/>
      <c r="BA428" s="10"/>
      <c r="BB428" s="10"/>
    </row>
    <row r="429" spans="28:54" s="12" customFormat="1" x14ac:dyDescent="0.25">
      <c r="AB429" s="10"/>
      <c r="AC429" s="10"/>
      <c r="AD429" s="10"/>
      <c r="AE429" s="10"/>
      <c r="AF429" s="10"/>
      <c r="AG429" s="10"/>
      <c r="AH429" s="10"/>
      <c r="AI429" s="10"/>
      <c r="AJ429" s="10"/>
      <c r="AK429" s="10"/>
      <c r="AL429" s="10"/>
      <c r="AM429" s="10"/>
      <c r="AN429" s="10"/>
      <c r="AO429" s="10"/>
      <c r="AP429" s="10"/>
      <c r="AQ429" s="10"/>
      <c r="AR429" s="10"/>
      <c r="AS429" s="10"/>
      <c r="AT429" s="10"/>
      <c r="AU429" s="10"/>
      <c r="AV429" s="10"/>
      <c r="AW429" s="10"/>
      <c r="AX429" s="10"/>
      <c r="AY429" s="10"/>
      <c r="AZ429" s="10"/>
      <c r="BA429" s="10"/>
      <c r="BB429" s="10"/>
    </row>
    <row r="430" spans="28:54" s="12" customFormat="1" x14ac:dyDescent="0.25">
      <c r="AB430" s="10"/>
      <c r="AC430" s="10"/>
      <c r="AD430" s="10"/>
      <c r="AE430" s="10"/>
      <c r="AF430" s="10"/>
      <c r="AG430" s="10"/>
      <c r="AH430" s="10"/>
      <c r="AI430" s="10"/>
      <c r="AJ430" s="10"/>
      <c r="AK430" s="10"/>
      <c r="AL430" s="10"/>
      <c r="AM430" s="10"/>
      <c r="AN430" s="10"/>
      <c r="AO430" s="10"/>
      <c r="AP430" s="10"/>
      <c r="AQ430" s="10"/>
      <c r="AR430" s="10"/>
      <c r="AS430" s="10"/>
      <c r="AT430" s="10"/>
      <c r="AU430" s="10"/>
      <c r="AV430" s="10"/>
      <c r="AW430" s="10"/>
      <c r="AX430" s="10"/>
      <c r="AY430" s="10"/>
      <c r="AZ430" s="10"/>
      <c r="BA430" s="10"/>
      <c r="BB430" s="10"/>
    </row>
    <row r="431" spans="28:54" s="12" customFormat="1" x14ac:dyDescent="0.25">
      <c r="AB431" s="10"/>
      <c r="AC431" s="10"/>
      <c r="AD431" s="10"/>
      <c r="AE431" s="10"/>
      <c r="AF431" s="10"/>
      <c r="AG431" s="10"/>
      <c r="AH431" s="10"/>
      <c r="AI431" s="10"/>
      <c r="AJ431" s="10"/>
      <c r="AK431" s="10"/>
      <c r="AL431" s="10"/>
      <c r="AM431" s="10"/>
      <c r="AN431" s="10"/>
      <c r="AO431" s="10"/>
      <c r="AP431" s="10"/>
      <c r="AQ431" s="10"/>
      <c r="AR431" s="10"/>
      <c r="AS431" s="10"/>
      <c r="AT431" s="10"/>
      <c r="AU431" s="10"/>
      <c r="AV431" s="10"/>
      <c r="AW431" s="10"/>
      <c r="AX431" s="10"/>
      <c r="AY431" s="10"/>
      <c r="AZ431" s="10"/>
      <c r="BA431" s="10"/>
      <c r="BB431" s="10"/>
    </row>
    <row r="432" spans="28:54" s="12" customFormat="1" x14ac:dyDescent="0.25">
      <c r="AB432" s="10"/>
      <c r="AC432" s="10"/>
      <c r="AD432" s="10"/>
      <c r="AE432" s="10"/>
      <c r="AF432" s="10"/>
      <c r="AG432" s="10"/>
      <c r="AH432" s="10"/>
      <c r="AI432" s="10"/>
      <c r="AJ432" s="10"/>
      <c r="AK432" s="10"/>
      <c r="AL432" s="10"/>
      <c r="AM432" s="10"/>
      <c r="AN432" s="10"/>
      <c r="AO432" s="10"/>
      <c r="AP432" s="10"/>
      <c r="AQ432" s="10"/>
      <c r="AR432" s="10"/>
      <c r="AS432" s="10"/>
      <c r="AT432" s="10"/>
      <c r="AU432" s="10"/>
      <c r="AV432" s="10"/>
      <c r="AW432" s="10"/>
      <c r="AX432" s="10"/>
      <c r="AY432" s="10"/>
      <c r="AZ432" s="10"/>
      <c r="BA432" s="10"/>
      <c r="BB432" s="10"/>
    </row>
    <row r="433" spans="28:54" s="12" customFormat="1" x14ac:dyDescent="0.25">
      <c r="AB433" s="10"/>
      <c r="AC433" s="10"/>
      <c r="AD433" s="10"/>
      <c r="AE433" s="10"/>
      <c r="AF433" s="10"/>
      <c r="AG433" s="10"/>
      <c r="AH433" s="10"/>
      <c r="AI433" s="10"/>
      <c r="AJ433" s="10"/>
      <c r="AK433" s="10"/>
      <c r="AL433" s="10"/>
      <c r="AM433" s="10"/>
      <c r="AN433" s="10"/>
      <c r="AO433" s="10"/>
      <c r="AP433" s="10"/>
      <c r="AQ433" s="10"/>
      <c r="AR433" s="10"/>
      <c r="AS433" s="10"/>
      <c r="AT433" s="10"/>
      <c r="AU433" s="10"/>
      <c r="AV433" s="10"/>
      <c r="AW433" s="10"/>
      <c r="AX433" s="10"/>
      <c r="AY433" s="10"/>
      <c r="AZ433" s="10"/>
      <c r="BA433" s="10"/>
      <c r="BB433" s="10"/>
    </row>
    <row r="434" spans="28:54" s="12" customFormat="1" x14ac:dyDescent="0.25">
      <c r="AB434" s="10"/>
      <c r="AC434" s="10"/>
      <c r="AD434" s="10"/>
      <c r="AE434" s="10"/>
      <c r="AF434" s="10"/>
      <c r="AG434" s="10"/>
      <c r="AH434" s="10"/>
      <c r="AI434" s="10"/>
      <c r="AJ434" s="10"/>
      <c r="AK434" s="10"/>
      <c r="AL434" s="10"/>
      <c r="AM434" s="10"/>
      <c r="AN434" s="10"/>
      <c r="AO434" s="10"/>
      <c r="AP434" s="10"/>
      <c r="AQ434" s="10"/>
      <c r="AR434" s="10"/>
      <c r="AS434" s="10"/>
      <c r="AT434" s="10"/>
      <c r="AU434" s="10"/>
      <c r="AV434" s="10"/>
      <c r="AW434" s="10"/>
      <c r="AX434" s="10"/>
      <c r="AY434" s="10"/>
      <c r="AZ434" s="10"/>
      <c r="BA434" s="10"/>
      <c r="BB434" s="10"/>
    </row>
    <row r="435" spans="28:54" s="12" customFormat="1" x14ac:dyDescent="0.25">
      <c r="AB435" s="10"/>
      <c r="AC435" s="10"/>
      <c r="AD435" s="10"/>
      <c r="AE435" s="10"/>
      <c r="AF435" s="10"/>
      <c r="AG435" s="10"/>
      <c r="AH435" s="10"/>
      <c r="AI435" s="10"/>
      <c r="AJ435" s="10"/>
      <c r="AK435" s="10"/>
      <c r="AL435" s="10"/>
      <c r="AM435" s="10"/>
      <c r="AN435" s="10"/>
      <c r="AO435" s="10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"/>
    </row>
    <row r="436" spans="28:54" s="12" customFormat="1" x14ac:dyDescent="0.25">
      <c r="AB436" s="10"/>
      <c r="AC436" s="10"/>
      <c r="AD436" s="10"/>
      <c r="AE436" s="10"/>
      <c r="AF436" s="10"/>
      <c r="AG436" s="10"/>
      <c r="AH436" s="10"/>
      <c r="AI436" s="10"/>
      <c r="AJ436" s="10"/>
      <c r="AK436" s="10"/>
      <c r="AL436" s="10"/>
      <c r="AM436" s="10"/>
      <c r="AN436" s="10"/>
      <c r="AO436" s="10"/>
      <c r="AP436" s="10"/>
      <c r="AQ436" s="10"/>
      <c r="AR436" s="10"/>
      <c r="AS436" s="10"/>
      <c r="AT436" s="10"/>
      <c r="AU436" s="10"/>
      <c r="AV436" s="10"/>
      <c r="AW436" s="10"/>
      <c r="AX436" s="10"/>
      <c r="AY436" s="10"/>
      <c r="AZ436" s="10"/>
      <c r="BA436" s="10"/>
      <c r="BB436" s="10"/>
    </row>
    <row r="437" spans="28:54" s="12" customFormat="1" x14ac:dyDescent="0.25">
      <c r="AB437" s="10"/>
      <c r="AC437" s="10"/>
      <c r="AD437" s="10"/>
      <c r="AE437" s="10"/>
      <c r="AF437" s="10"/>
      <c r="AG437" s="10"/>
      <c r="AH437" s="10"/>
      <c r="AI437" s="10"/>
      <c r="AJ437" s="10"/>
      <c r="AK437" s="10"/>
      <c r="AL437" s="10"/>
      <c r="AM437" s="10"/>
      <c r="AN437" s="10"/>
      <c r="AO437" s="10"/>
      <c r="AP437" s="10"/>
      <c r="AQ437" s="10"/>
      <c r="AR437" s="10"/>
      <c r="AS437" s="10"/>
      <c r="AT437" s="10"/>
      <c r="AU437" s="10"/>
      <c r="AV437" s="10"/>
      <c r="AW437" s="10"/>
      <c r="AX437" s="10"/>
      <c r="AY437" s="10"/>
      <c r="AZ437" s="10"/>
      <c r="BA437" s="10"/>
      <c r="BB437" s="10"/>
    </row>
    <row r="438" spans="28:54" s="12" customFormat="1" x14ac:dyDescent="0.25">
      <c r="AB438" s="10"/>
      <c r="AC438" s="10"/>
      <c r="AD438" s="10"/>
      <c r="AE438" s="10"/>
      <c r="AF438" s="10"/>
      <c r="AG438" s="10"/>
      <c r="AH438" s="10"/>
      <c r="AI438" s="10"/>
      <c r="AJ438" s="10"/>
      <c r="AK438" s="10"/>
      <c r="AL438" s="10"/>
      <c r="AM438" s="10"/>
      <c r="AN438" s="10"/>
      <c r="AO438" s="10"/>
      <c r="AP438" s="10"/>
      <c r="AQ438" s="10"/>
      <c r="AR438" s="10"/>
      <c r="AS438" s="10"/>
      <c r="AT438" s="10"/>
      <c r="AU438" s="10"/>
      <c r="AV438" s="10"/>
      <c r="AW438" s="10"/>
      <c r="AX438" s="10"/>
      <c r="AY438" s="10"/>
      <c r="AZ438" s="10"/>
      <c r="BA438" s="10"/>
      <c r="BB438" s="10"/>
    </row>
    <row r="439" spans="28:54" s="12" customFormat="1" x14ac:dyDescent="0.25">
      <c r="AB439" s="10"/>
      <c r="AC439" s="10"/>
      <c r="AD439" s="10"/>
      <c r="AE439" s="10"/>
      <c r="AF439" s="10"/>
      <c r="AG439" s="10"/>
      <c r="AH439" s="10"/>
      <c r="AI439" s="10"/>
      <c r="AJ439" s="10"/>
      <c r="AK439" s="10"/>
      <c r="AL439" s="10"/>
      <c r="AM439" s="10"/>
      <c r="AN439" s="10"/>
      <c r="AO439" s="10"/>
      <c r="AP439" s="10"/>
      <c r="AQ439" s="10"/>
      <c r="AR439" s="10"/>
      <c r="AS439" s="10"/>
      <c r="AT439" s="10"/>
      <c r="AU439" s="10"/>
      <c r="AV439" s="10"/>
      <c r="AW439" s="10"/>
      <c r="AX439" s="10"/>
      <c r="AY439" s="10"/>
      <c r="AZ439" s="10"/>
      <c r="BA439" s="10"/>
      <c r="BB439" s="10"/>
    </row>
    <row r="440" spans="28:54" s="12" customFormat="1" x14ac:dyDescent="0.25">
      <c r="AB440" s="10"/>
      <c r="AC440" s="10"/>
      <c r="AD440" s="10"/>
      <c r="AE440" s="10"/>
      <c r="AF440" s="10"/>
      <c r="AG440" s="10"/>
      <c r="AH440" s="10"/>
      <c r="AI440" s="10"/>
      <c r="AJ440" s="10"/>
      <c r="AK440" s="10"/>
      <c r="AL440" s="10"/>
      <c r="AM440" s="10"/>
      <c r="AN440" s="10"/>
      <c r="AO440" s="10"/>
      <c r="AP440" s="10"/>
      <c r="AQ440" s="10"/>
      <c r="AR440" s="10"/>
      <c r="AS440" s="10"/>
      <c r="AT440" s="10"/>
      <c r="AU440" s="10"/>
      <c r="AV440" s="10"/>
      <c r="AW440" s="10"/>
      <c r="AX440" s="10"/>
      <c r="AY440" s="10"/>
      <c r="AZ440" s="10"/>
      <c r="BA440" s="10"/>
      <c r="BB440" s="10"/>
    </row>
    <row r="441" spans="28:54" s="12" customFormat="1" x14ac:dyDescent="0.25">
      <c r="AB441" s="10"/>
      <c r="AC441" s="10"/>
      <c r="AD441" s="10"/>
      <c r="AE441" s="10"/>
      <c r="AF441" s="10"/>
      <c r="AG441" s="10"/>
      <c r="AH441" s="10"/>
      <c r="AI441" s="10"/>
      <c r="AJ441" s="10"/>
      <c r="AK441" s="10"/>
      <c r="AL441" s="10"/>
      <c r="AM441" s="10"/>
      <c r="AN441" s="10"/>
      <c r="AO441" s="10"/>
      <c r="AP441" s="10"/>
      <c r="AQ441" s="10"/>
      <c r="AR441" s="10"/>
      <c r="AS441" s="10"/>
      <c r="AT441" s="10"/>
      <c r="AU441" s="10"/>
      <c r="AV441" s="10"/>
      <c r="AW441" s="10"/>
      <c r="AX441" s="10"/>
      <c r="AY441" s="10"/>
      <c r="AZ441" s="10"/>
      <c r="BA441" s="10"/>
      <c r="BB441" s="10"/>
    </row>
    <row r="442" spans="28:54" s="12" customFormat="1" x14ac:dyDescent="0.25">
      <c r="AB442" s="10"/>
      <c r="AC442" s="10"/>
      <c r="AD442" s="10"/>
      <c r="AE442" s="10"/>
      <c r="AF442" s="10"/>
      <c r="AG442" s="10"/>
      <c r="AH442" s="10"/>
      <c r="AI442" s="10"/>
      <c r="AJ442" s="10"/>
      <c r="AK442" s="10"/>
      <c r="AL442" s="10"/>
      <c r="AM442" s="10"/>
      <c r="AN442" s="10"/>
      <c r="AO442" s="10"/>
      <c r="AP442" s="10"/>
      <c r="AQ442" s="10"/>
      <c r="AR442" s="10"/>
      <c r="AS442" s="10"/>
      <c r="AT442" s="10"/>
      <c r="AU442" s="10"/>
      <c r="AV442" s="10"/>
      <c r="AW442" s="10"/>
      <c r="AX442" s="10"/>
      <c r="AY442" s="10"/>
      <c r="AZ442" s="10"/>
      <c r="BA442" s="10"/>
      <c r="BB442" s="10"/>
    </row>
    <row r="443" spans="28:54" s="12" customFormat="1" x14ac:dyDescent="0.25">
      <c r="AB443" s="10"/>
      <c r="AC443" s="10"/>
      <c r="AD443" s="10"/>
      <c r="AE443" s="10"/>
      <c r="AF443" s="10"/>
      <c r="AG443" s="10"/>
      <c r="AH443" s="10"/>
      <c r="AI443" s="10"/>
      <c r="AJ443" s="10"/>
      <c r="AK443" s="10"/>
      <c r="AL443" s="10"/>
      <c r="AM443" s="10"/>
      <c r="AN443" s="10"/>
      <c r="AO443" s="10"/>
      <c r="AP443" s="10"/>
      <c r="AQ443" s="10"/>
      <c r="AR443" s="10"/>
      <c r="AS443" s="10"/>
      <c r="AT443" s="10"/>
      <c r="AU443" s="10"/>
      <c r="AV443" s="10"/>
      <c r="AW443" s="10"/>
      <c r="AX443" s="10"/>
      <c r="AY443" s="10"/>
      <c r="AZ443" s="10"/>
      <c r="BA443" s="10"/>
      <c r="BB443" s="10"/>
    </row>
    <row r="444" spans="28:54" s="12" customFormat="1" x14ac:dyDescent="0.25">
      <c r="AB444" s="10"/>
      <c r="AC444" s="10"/>
      <c r="AD444" s="10"/>
      <c r="AE444" s="10"/>
      <c r="AF444" s="10"/>
      <c r="AG444" s="10"/>
      <c r="AH444" s="10"/>
      <c r="AI444" s="10"/>
      <c r="AJ444" s="10"/>
      <c r="AK444" s="10"/>
      <c r="AL444" s="10"/>
      <c r="AM444" s="10"/>
      <c r="AN444" s="10"/>
      <c r="AO444" s="10"/>
      <c r="AP444" s="10"/>
      <c r="AQ444" s="10"/>
      <c r="AR444" s="10"/>
      <c r="AS444" s="10"/>
      <c r="AT444" s="10"/>
      <c r="AU444" s="10"/>
      <c r="AV444" s="10"/>
      <c r="AW444" s="10"/>
      <c r="AX444" s="10"/>
      <c r="AY444" s="10"/>
      <c r="AZ444" s="10"/>
      <c r="BA444" s="10"/>
      <c r="BB444" s="10"/>
    </row>
    <row r="445" spans="28:54" s="12" customFormat="1" x14ac:dyDescent="0.25">
      <c r="AB445" s="10"/>
      <c r="AC445" s="10"/>
      <c r="AD445" s="10"/>
      <c r="AE445" s="10"/>
      <c r="AF445" s="10"/>
      <c r="AG445" s="10"/>
      <c r="AH445" s="10"/>
      <c r="AI445" s="10"/>
      <c r="AJ445" s="10"/>
      <c r="AK445" s="10"/>
      <c r="AL445" s="10"/>
      <c r="AM445" s="10"/>
      <c r="AN445" s="10"/>
      <c r="AO445" s="10"/>
      <c r="AP445" s="10"/>
      <c r="AQ445" s="10"/>
      <c r="AR445" s="10"/>
      <c r="AS445" s="10"/>
      <c r="AT445" s="10"/>
      <c r="AU445" s="10"/>
      <c r="AV445" s="10"/>
      <c r="AW445" s="10"/>
      <c r="AX445" s="10"/>
      <c r="AY445" s="10"/>
      <c r="AZ445" s="10"/>
      <c r="BA445" s="10"/>
      <c r="BB445" s="10"/>
    </row>
    <row r="446" spans="28:54" s="12" customFormat="1" x14ac:dyDescent="0.25">
      <c r="AB446" s="10"/>
      <c r="AC446" s="10"/>
      <c r="AD446" s="10"/>
      <c r="AE446" s="10"/>
      <c r="AF446" s="10"/>
      <c r="AG446" s="10"/>
      <c r="AH446" s="10"/>
      <c r="AI446" s="10"/>
      <c r="AJ446" s="10"/>
      <c r="AK446" s="10"/>
      <c r="AL446" s="10"/>
      <c r="AM446" s="10"/>
      <c r="AN446" s="10"/>
      <c r="AO446" s="10"/>
      <c r="AP446" s="10"/>
      <c r="AQ446" s="10"/>
      <c r="AR446" s="10"/>
      <c r="AS446" s="10"/>
      <c r="AT446" s="10"/>
      <c r="AU446" s="10"/>
      <c r="AV446" s="10"/>
      <c r="AW446" s="10"/>
      <c r="AX446" s="10"/>
      <c r="AY446" s="10"/>
      <c r="AZ446" s="10"/>
      <c r="BA446" s="10"/>
      <c r="BB446" s="10"/>
    </row>
    <row r="447" spans="28:54" s="12" customFormat="1" x14ac:dyDescent="0.25">
      <c r="AB447" s="10"/>
      <c r="AC447" s="10"/>
      <c r="AD447" s="10"/>
      <c r="AE447" s="10"/>
      <c r="AF447" s="10"/>
      <c r="AG447" s="10"/>
      <c r="AH447" s="10"/>
      <c r="AI447" s="10"/>
      <c r="AJ447" s="10"/>
      <c r="AK447" s="10"/>
      <c r="AL447" s="10"/>
      <c r="AM447" s="10"/>
      <c r="AN447" s="10"/>
      <c r="AO447" s="10"/>
      <c r="AP447" s="10"/>
      <c r="AQ447" s="10"/>
      <c r="AR447" s="10"/>
      <c r="AS447" s="10"/>
      <c r="AT447" s="10"/>
      <c r="AU447" s="10"/>
      <c r="AV447" s="10"/>
      <c r="AW447" s="10"/>
      <c r="AX447" s="10"/>
      <c r="AY447" s="10"/>
      <c r="AZ447" s="10"/>
      <c r="BA447" s="10"/>
      <c r="BB447" s="10"/>
    </row>
    <row r="448" spans="28:54" s="12" customFormat="1" x14ac:dyDescent="0.25">
      <c r="AB448" s="10"/>
      <c r="AC448" s="10"/>
      <c r="AD448" s="10"/>
      <c r="AE448" s="10"/>
      <c r="AF448" s="10"/>
      <c r="AG448" s="10"/>
      <c r="AH448" s="10"/>
      <c r="AI448" s="10"/>
      <c r="AJ448" s="10"/>
      <c r="AK448" s="10"/>
      <c r="AL448" s="10"/>
      <c r="AM448" s="10"/>
      <c r="AN448" s="10"/>
      <c r="AO448" s="10"/>
      <c r="AP448" s="10"/>
      <c r="AQ448" s="10"/>
      <c r="AR448" s="10"/>
      <c r="AS448" s="10"/>
      <c r="AT448" s="10"/>
      <c r="AU448" s="10"/>
      <c r="AV448" s="10"/>
      <c r="AW448" s="10"/>
      <c r="AX448" s="10"/>
      <c r="AY448" s="10"/>
      <c r="AZ448" s="10"/>
      <c r="BA448" s="10"/>
      <c r="BB448" s="10"/>
    </row>
    <row r="449" spans="28:54" s="12" customFormat="1" x14ac:dyDescent="0.25">
      <c r="AB449" s="10"/>
      <c r="AC449" s="10"/>
      <c r="AD449" s="10"/>
      <c r="AE449" s="10"/>
      <c r="AF449" s="10"/>
      <c r="AG449" s="10"/>
      <c r="AH449" s="10"/>
      <c r="AI449" s="10"/>
      <c r="AJ449" s="10"/>
      <c r="AK449" s="10"/>
      <c r="AL449" s="10"/>
      <c r="AM449" s="10"/>
      <c r="AN449" s="10"/>
      <c r="AO449" s="10"/>
      <c r="AP449" s="10"/>
      <c r="AQ449" s="10"/>
      <c r="AR449" s="10"/>
      <c r="AS449" s="10"/>
      <c r="AT449" s="10"/>
      <c r="AU449" s="10"/>
      <c r="AV449" s="10"/>
      <c r="AW449" s="10"/>
      <c r="AX449" s="10"/>
      <c r="AY449" s="10"/>
      <c r="AZ449" s="10"/>
      <c r="BA449" s="10"/>
      <c r="BB449" s="10"/>
    </row>
    <row r="450" spans="28:54" s="12" customFormat="1" x14ac:dyDescent="0.25">
      <c r="AB450" s="10"/>
      <c r="AC450" s="10"/>
      <c r="AD450" s="10"/>
      <c r="AE450" s="10"/>
      <c r="AF450" s="10"/>
      <c r="AG450" s="10"/>
      <c r="AH450" s="10"/>
      <c r="AI450" s="10"/>
      <c r="AJ450" s="10"/>
      <c r="AK450" s="10"/>
      <c r="AL450" s="10"/>
      <c r="AM450" s="10"/>
      <c r="AN450" s="10"/>
      <c r="AO450" s="10"/>
      <c r="AP450" s="10"/>
      <c r="AQ450" s="10"/>
      <c r="AR450" s="10"/>
      <c r="AS450" s="10"/>
      <c r="AT450" s="10"/>
      <c r="AU450" s="10"/>
      <c r="AV450" s="10"/>
      <c r="AW450" s="10"/>
      <c r="AX450" s="10"/>
      <c r="AY450" s="10"/>
      <c r="AZ450" s="10"/>
      <c r="BA450" s="10"/>
      <c r="BB450" s="10"/>
    </row>
    <row r="451" spans="28:54" s="12" customFormat="1" x14ac:dyDescent="0.25">
      <c r="AB451" s="10"/>
      <c r="AC451" s="10"/>
      <c r="AD451" s="10"/>
      <c r="AE451" s="10"/>
      <c r="AF451" s="10"/>
      <c r="AG451" s="10"/>
      <c r="AH451" s="10"/>
      <c r="AI451" s="10"/>
      <c r="AJ451" s="10"/>
      <c r="AK451" s="10"/>
      <c r="AL451" s="10"/>
      <c r="AM451" s="10"/>
      <c r="AN451" s="10"/>
      <c r="AO451" s="10"/>
      <c r="AP451" s="10"/>
      <c r="AQ451" s="10"/>
      <c r="AR451" s="10"/>
      <c r="AS451" s="10"/>
      <c r="AT451" s="10"/>
      <c r="AU451" s="10"/>
      <c r="AV451" s="10"/>
      <c r="AW451" s="10"/>
      <c r="AX451" s="10"/>
      <c r="AY451" s="10"/>
      <c r="AZ451" s="10"/>
      <c r="BA451" s="10"/>
      <c r="BB451" s="10"/>
    </row>
    <row r="452" spans="28:54" s="12" customFormat="1" x14ac:dyDescent="0.25">
      <c r="AB452" s="10"/>
      <c r="AC452" s="10"/>
      <c r="AD452" s="10"/>
      <c r="AE452" s="10"/>
      <c r="AF452" s="10"/>
      <c r="AG452" s="10"/>
      <c r="AH452" s="10"/>
      <c r="AI452" s="10"/>
      <c r="AJ452" s="10"/>
      <c r="AK452" s="10"/>
      <c r="AL452" s="10"/>
      <c r="AM452" s="10"/>
      <c r="AN452" s="10"/>
      <c r="AO452" s="10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"/>
    </row>
    <row r="453" spans="28:54" s="12" customFormat="1" x14ac:dyDescent="0.25">
      <c r="AB453" s="10"/>
      <c r="AC453" s="10"/>
      <c r="AD453" s="10"/>
      <c r="AE453" s="10"/>
      <c r="AF453" s="10"/>
      <c r="AG453" s="10"/>
      <c r="AH453" s="10"/>
      <c r="AI453" s="10"/>
      <c r="AJ453" s="10"/>
      <c r="AK453" s="10"/>
      <c r="AL453" s="10"/>
      <c r="AM453" s="10"/>
      <c r="AN453" s="10"/>
      <c r="AO453" s="10"/>
      <c r="AP453" s="10"/>
      <c r="AQ453" s="10"/>
      <c r="AR453" s="10"/>
      <c r="AS453" s="10"/>
      <c r="AT453" s="10"/>
      <c r="AU453" s="10"/>
      <c r="AV453" s="10"/>
      <c r="AW453" s="10"/>
      <c r="AX453" s="10"/>
      <c r="AY453" s="10"/>
      <c r="AZ453" s="10"/>
      <c r="BA453" s="10"/>
      <c r="BB453" s="10"/>
    </row>
    <row r="454" spans="28:54" s="12" customFormat="1" x14ac:dyDescent="0.25">
      <c r="AB454" s="10"/>
      <c r="AC454" s="10"/>
      <c r="AD454" s="10"/>
      <c r="AE454" s="10"/>
      <c r="AF454" s="10"/>
      <c r="AG454" s="10"/>
      <c r="AH454" s="10"/>
      <c r="AI454" s="10"/>
      <c r="AJ454" s="10"/>
      <c r="AK454" s="10"/>
      <c r="AL454" s="10"/>
      <c r="AM454" s="10"/>
      <c r="AN454" s="10"/>
      <c r="AO454" s="10"/>
      <c r="AP454" s="10"/>
      <c r="AQ454" s="10"/>
      <c r="AR454" s="10"/>
      <c r="AS454" s="10"/>
      <c r="AT454" s="10"/>
      <c r="AU454" s="10"/>
      <c r="AV454" s="10"/>
      <c r="AW454" s="10"/>
      <c r="AX454" s="10"/>
      <c r="AY454" s="10"/>
      <c r="AZ454" s="10"/>
      <c r="BA454" s="10"/>
      <c r="BB454" s="10"/>
    </row>
    <row r="455" spans="28:54" s="12" customFormat="1" x14ac:dyDescent="0.25">
      <c r="AB455" s="10"/>
      <c r="AC455" s="10"/>
      <c r="AD455" s="10"/>
      <c r="AE455" s="10"/>
      <c r="AF455" s="10"/>
      <c r="AG455" s="10"/>
      <c r="AH455" s="10"/>
      <c r="AI455" s="10"/>
      <c r="AJ455" s="10"/>
      <c r="AK455" s="10"/>
      <c r="AL455" s="10"/>
      <c r="AM455" s="10"/>
      <c r="AN455" s="10"/>
      <c r="AO455" s="10"/>
      <c r="AP455" s="10"/>
      <c r="AQ455" s="10"/>
      <c r="AR455" s="10"/>
      <c r="AS455" s="10"/>
      <c r="AT455" s="10"/>
      <c r="AU455" s="10"/>
      <c r="AV455" s="10"/>
      <c r="AW455" s="10"/>
      <c r="AX455" s="10"/>
      <c r="AY455" s="10"/>
      <c r="AZ455" s="10"/>
      <c r="BA455" s="10"/>
      <c r="BB455" s="10"/>
    </row>
    <row r="456" spans="28:54" s="12" customFormat="1" x14ac:dyDescent="0.25">
      <c r="AB456" s="10"/>
      <c r="AC456" s="10"/>
      <c r="AD456" s="10"/>
      <c r="AE456" s="10"/>
      <c r="AF456" s="10"/>
      <c r="AG456" s="10"/>
      <c r="AH456" s="10"/>
      <c r="AI456" s="10"/>
      <c r="AJ456" s="10"/>
      <c r="AK456" s="10"/>
      <c r="AL456" s="10"/>
      <c r="AM456" s="10"/>
      <c r="AN456" s="10"/>
      <c r="AO456" s="10"/>
      <c r="AP456" s="10"/>
      <c r="AQ456" s="10"/>
      <c r="AR456" s="10"/>
      <c r="AS456" s="10"/>
      <c r="AT456" s="10"/>
      <c r="AU456" s="10"/>
      <c r="AV456" s="10"/>
      <c r="AW456" s="10"/>
      <c r="AX456" s="10"/>
      <c r="AY456" s="10"/>
      <c r="AZ456" s="10"/>
      <c r="BA456" s="10"/>
      <c r="BB456" s="10"/>
    </row>
    <row r="457" spans="28:54" s="12" customFormat="1" x14ac:dyDescent="0.25">
      <c r="AB457" s="10"/>
      <c r="AC457" s="10"/>
      <c r="AD457" s="10"/>
      <c r="AE457" s="10"/>
      <c r="AF457" s="10"/>
      <c r="AG457" s="10"/>
      <c r="AH457" s="10"/>
      <c r="AI457" s="10"/>
      <c r="AJ457" s="10"/>
      <c r="AK457" s="10"/>
      <c r="AL457" s="10"/>
      <c r="AM457" s="10"/>
      <c r="AN457" s="10"/>
      <c r="AO457" s="10"/>
      <c r="AP457" s="10"/>
      <c r="AQ457" s="10"/>
      <c r="AR457" s="10"/>
      <c r="AS457" s="10"/>
      <c r="AT457" s="10"/>
      <c r="AU457" s="10"/>
      <c r="AV457" s="10"/>
      <c r="AW457" s="10"/>
      <c r="AX457" s="10"/>
      <c r="AY457" s="10"/>
      <c r="AZ457" s="10"/>
      <c r="BA457" s="10"/>
      <c r="BB457" s="10"/>
    </row>
    <row r="458" spans="28:54" s="12" customFormat="1" x14ac:dyDescent="0.25">
      <c r="AB458" s="10"/>
      <c r="AC458" s="10"/>
      <c r="AD458" s="10"/>
      <c r="AE458" s="10"/>
      <c r="AF458" s="10"/>
      <c r="AG458" s="10"/>
      <c r="AH458" s="10"/>
      <c r="AI458" s="10"/>
      <c r="AJ458" s="10"/>
      <c r="AK458" s="10"/>
      <c r="AL458" s="10"/>
      <c r="AM458" s="10"/>
      <c r="AN458" s="10"/>
      <c r="AO458" s="10"/>
      <c r="AP458" s="10"/>
      <c r="AQ458" s="10"/>
      <c r="AR458" s="10"/>
      <c r="AS458" s="10"/>
      <c r="AT458" s="10"/>
      <c r="AU458" s="10"/>
      <c r="AV458" s="10"/>
      <c r="AW458" s="10"/>
      <c r="AX458" s="10"/>
      <c r="AY458" s="10"/>
      <c r="AZ458" s="10"/>
      <c r="BA458" s="10"/>
      <c r="BB458" s="10"/>
    </row>
    <row r="459" spans="28:54" s="12" customFormat="1" x14ac:dyDescent="0.25">
      <c r="AB459" s="10"/>
      <c r="AC459" s="10"/>
      <c r="AD459" s="10"/>
      <c r="AE459" s="10"/>
      <c r="AF459" s="10"/>
      <c r="AG459" s="10"/>
      <c r="AH459" s="10"/>
      <c r="AI459" s="10"/>
      <c r="AJ459" s="10"/>
      <c r="AK459" s="10"/>
      <c r="AL459" s="10"/>
      <c r="AM459" s="10"/>
      <c r="AN459" s="10"/>
      <c r="AO459" s="10"/>
      <c r="AP459" s="10"/>
      <c r="AQ459" s="10"/>
      <c r="AR459" s="10"/>
      <c r="AS459" s="10"/>
      <c r="AT459" s="10"/>
      <c r="AU459" s="10"/>
      <c r="AV459" s="10"/>
      <c r="AW459" s="10"/>
      <c r="AX459" s="10"/>
      <c r="AY459" s="10"/>
      <c r="AZ459" s="10"/>
      <c r="BA459" s="10"/>
      <c r="BB459" s="10"/>
    </row>
    <row r="460" spans="28:54" s="12" customFormat="1" x14ac:dyDescent="0.25">
      <c r="AB460" s="10"/>
      <c r="AC460" s="10"/>
      <c r="AD460" s="10"/>
      <c r="AE460" s="10"/>
      <c r="AF460" s="10"/>
      <c r="AG460" s="10"/>
      <c r="AH460" s="10"/>
      <c r="AI460" s="10"/>
      <c r="AJ460" s="10"/>
      <c r="AK460" s="10"/>
      <c r="AL460" s="10"/>
      <c r="AM460" s="10"/>
      <c r="AN460" s="10"/>
      <c r="AO460" s="10"/>
      <c r="AP460" s="10"/>
      <c r="AQ460" s="10"/>
      <c r="AR460" s="10"/>
      <c r="AS460" s="10"/>
      <c r="AT460" s="10"/>
      <c r="AU460" s="10"/>
      <c r="AV460" s="10"/>
      <c r="AW460" s="10"/>
      <c r="AX460" s="10"/>
      <c r="AY460" s="10"/>
      <c r="AZ460" s="10"/>
      <c r="BA460" s="10"/>
      <c r="BB460" s="10"/>
    </row>
    <row r="461" spans="28:54" s="12" customFormat="1" x14ac:dyDescent="0.25">
      <c r="AB461" s="10"/>
      <c r="AC461" s="10"/>
      <c r="AD461" s="10"/>
      <c r="AE461" s="10"/>
      <c r="AF461" s="10"/>
      <c r="AG461" s="10"/>
      <c r="AH461" s="10"/>
      <c r="AI461" s="10"/>
      <c r="AJ461" s="10"/>
      <c r="AK461" s="10"/>
      <c r="AL461" s="10"/>
      <c r="AM461" s="10"/>
      <c r="AN461" s="10"/>
      <c r="AO461" s="10"/>
      <c r="AP461" s="10"/>
      <c r="AQ461" s="10"/>
      <c r="AR461" s="10"/>
      <c r="AS461" s="10"/>
      <c r="AT461" s="10"/>
      <c r="AU461" s="10"/>
      <c r="AV461" s="10"/>
      <c r="AW461" s="10"/>
      <c r="AX461" s="10"/>
      <c r="AY461" s="10"/>
      <c r="AZ461" s="10"/>
      <c r="BA461" s="10"/>
      <c r="BB461" s="10"/>
    </row>
    <row r="462" spans="28:54" s="12" customFormat="1" x14ac:dyDescent="0.25">
      <c r="AB462" s="10"/>
      <c r="AC462" s="10"/>
      <c r="AD462" s="10"/>
      <c r="AE462" s="10"/>
      <c r="AF462" s="10"/>
      <c r="AG462" s="10"/>
      <c r="AH462" s="10"/>
      <c r="AI462" s="10"/>
      <c r="AJ462" s="10"/>
      <c r="AK462" s="10"/>
      <c r="AL462" s="10"/>
      <c r="AM462" s="10"/>
      <c r="AN462" s="10"/>
      <c r="AO462" s="10"/>
      <c r="AP462" s="10"/>
      <c r="AQ462" s="10"/>
      <c r="AR462" s="10"/>
      <c r="AS462" s="10"/>
      <c r="AT462" s="10"/>
      <c r="AU462" s="10"/>
      <c r="AV462" s="10"/>
      <c r="AW462" s="10"/>
      <c r="AX462" s="10"/>
      <c r="AY462" s="10"/>
      <c r="AZ462" s="10"/>
      <c r="BA462" s="10"/>
      <c r="BB462" s="10"/>
    </row>
    <row r="463" spans="28:54" s="12" customFormat="1" x14ac:dyDescent="0.25">
      <c r="AB463" s="10"/>
      <c r="AC463" s="10"/>
      <c r="AD463" s="10"/>
      <c r="AE463" s="10"/>
      <c r="AF463" s="10"/>
      <c r="AG463" s="10"/>
      <c r="AH463" s="10"/>
      <c r="AI463" s="10"/>
      <c r="AJ463" s="10"/>
      <c r="AK463" s="10"/>
      <c r="AL463" s="10"/>
      <c r="AM463" s="10"/>
      <c r="AN463" s="10"/>
      <c r="AO463" s="10"/>
      <c r="AP463" s="10"/>
      <c r="AQ463" s="10"/>
      <c r="AR463" s="10"/>
      <c r="AS463" s="10"/>
      <c r="AT463" s="10"/>
      <c r="AU463" s="10"/>
      <c r="AV463" s="10"/>
      <c r="AW463" s="10"/>
      <c r="AX463" s="10"/>
      <c r="AY463" s="10"/>
      <c r="AZ463" s="10"/>
      <c r="BA463" s="10"/>
      <c r="BB463" s="10"/>
    </row>
    <row r="464" spans="28:54" s="12" customFormat="1" x14ac:dyDescent="0.25">
      <c r="AB464" s="10"/>
      <c r="AC464" s="10"/>
      <c r="AD464" s="10"/>
      <c r="AE464" s="10"/>
      <c r="AF464" s="10"/>
      <c r="AG464" s="10"/>
      <c r="AH464" s="10"/>
      <c r="AI464" s="10"/>
      <c r="AJ464" s="10"/>
      <c r="AK464" s="10"/>
      <c r="AL464" s="10"/>
      <c r="AM464" s="10"/>
      <c r="AN464" s="10"/>
      <c r="AO464" s="10"/>
      <c r="AP464" s="10"/>
      <c r="AQ464" s="10"/>
      <c r="AR464" s="10"/>
      <c r="AS464" s="10"/>
      <c r="AT464" s="10"/>
      <c r="AU464" s="10"/>
      <c r="AV464" s="10"/>
      <c r="AW464" s="10"/>
      <c r="AX464" s="10"/>
      <c r="AY464" s="10"/>
      <c r="AZ464" s="10"/>
      <c r="BA464" s="10"/>
      <c r="BB464" s="10"/>
    </row>
    <row r="465" spans="28:54" s="12" customFormat="1" x14ac:dyDescent="0.25">
      <c r="AB465" s="10"/>
      <c r="AC465" s="10"/>
      <c r="AD465" s="10"/>
      <c r="AE465" s="10"/>
      <c r="AF465" s="10"/>
      <c r="AG465" s="10"/>
      <c r="AH465" s="10"/>
      <c r="AI465" s="10"/>
      <c r="AJ465" s="10"/>
      <c r="AK465" s="10"/>
      <c r="AL465" s="10"/>
      <c r="AM465" s="10"/>
      <c r="AN465" s="10"/>
      <c r="AO465" s="10"/>
      <c r="AP465" s="10"/>
      <c r="AQ465" s="10"/>
      <c r="AR465" s="10"/>
      <c r="AS465" s="10"/>
      <c r="AT465" s="10"/>
      <c r="AU465" s="10"/>
      <c r="AV465" s="10"/>
      <c r="AW465" s="10"/>
      <c r="AX465" s="10"/>
      <c r="AY465" s="10"/>
      <c r="AZ465" s="10"/>
      <c r="BA465" s="10"/>
      <c r="BB465" s="10"/>
    </row>
    <row r="466" spans="28:54" s="12" customFormat="1" x14ac:dyDescent="0.25">
      <c r="AB466" s="10"/>
      <c r="AC466" s="10"/>
      <c r="AD466" s="10"/>
      <c r="AE466" s="10"/>
      <c r="AF466" s="10"/>
      <c r="AG466" s="10"/>
      <c r="AH466" s="10"/>
      <c r="AI466" s="10"/>
      <c r="AJ466" s="10"/>
      <c r="AK466" s="10"/>
      <c r="AL466" s="10"/>
      <c r="AM466" s="10"/>
      <c r="AN466" s="10"/>
      <c r="AO466" s="10"/>
      <c r="AP466" s="10"/>
      <c r="AQ466" s="10"/>
      <c r="AR466" s="10"/>
      <c r="AS466" s="10"/>
      <c r="AT466" s="10"/>
      <c r="AU466" s="10"/>
      <c r="AV466" s="10"/>
      <c r="AW466" s="10"/>
      <c r="AX466" s="10"/>
      <c r="AY466" s="10"/>
      <c r="AZ466" s="10"/>
      <c r="BA466" s="10"/>
      <c r="BB466" s="10"/>
    </row>
    <row r="467" spans="28:54" s="12" customFormat="1" x14ac:dyDescent="0.25">
      <c r="AB467" s="10"/>
      <c r="AC467" s="10"/>
      <c r="AD467" s="10"/>
      <c r="AE467" s="10"/>
      <c r="AF467" s="10"/>
      <c r="AG467" s="10"/>
      <c r="AH467" s="10"/>
      <c r="AI467" s="10"/>
      <c r="AJ467" s="10"/>
      <c r="AK467" s="10"/>
      <c r="AL467" s="10"/>
      <c r="AM467" s="10"/>
      <c r="AN467" s="10"/>
      <c r="AO467" s="10"/>
      <c r="AP467" s="10"/>
      <c r="AQ467" s="10"/>
      <c r="AR467" s="10"/>
      <c r="AS467" s="10"/>
      <c r="AT467" s="10"/>
      <c r="AU467" s="10"/>
      <c r="AV467" s="10"/>
      <c r="AW467" s="10"/>
      <c r="AX467" s="10"/>
      <c r="AY467" s="10"/>
      <c r="AZ467" s="10"/>
      <c r="BA467" s="10"/>
      <c r="BB467" s="10"/>
    </row>
    <row r="468" spans="28:54" s="12" customFormat="1" x14ac:dyDescent="0.25">
      <c r="AB468" s="10"/>
      <c r="AC468" s="10"/>
      <c r="AD468" s="10"/>
      <c r="AE468" s="10"/>
      <c r="AF468" s="10"/>
      <c r="AG468" s="10"/>
      <c r="AH468" s="10"/>
      <c r="AI468" s="10"/>
      <c r="AJ468" s="10"/>
      <c r="AK468" s="10"/>
      <c r="AL468" s="10"/>
      <c r="AM468" s="10"/>
      <c r="AN468" s="10"/>
      <c r="AO468" s="10"/>
      <c r="AP468" s="10"/>
      <c r="AQ468" s="10"/>
      <c r="AR468" s="10"/>
      <c r="AS468" s="10"/>
      <c r="AT468" s="10"/>
      <c r="AU468" s="10"/>
      <c r="AV468" s="10"/>
      <c r="AW468" s="10"/>
      <c r="AX468" s="10"/>
      <c r="AY468" s="10"/>
      <c r="AZ468" s="10"/>
      <c r="BA468" s="10"/>
      <c r="BB468" s="10"/>
    </row>
    <row r="469" spans="28:54" s="12" customFormat="1" x14ac:dyDescent="0.25">
      <c r="AB469" s="10"/>
      <c r="AC469" s="10"/>
      <c r="AD469" s="10"/>
      <c r="AE469" s="10"/>
      <c r="AF469" s="10"/>
      <c r="AG469" s="10"/>
      <c r="AH469" s="10"/>
      <c r="AI469" s="10"/>
      <c r="AJ469" s="10"/>
      <c r="AK469" s="10"/>
      <c r="AL469" s="10"/>
      <c r="AM469" s="10"/>
      <c r="AN469" s="10"/>
      <c r="AO469" s="10"/>
      <c r="AP469" s="10"/>
      <c r="AQ469" s="10"/>
      <c r="AR469" s="10"/>
      <c r="AS469" s="10"/>
      <c r="AT469" s="10"/>
      <c r="AU469" s="10"/>
      <c r="AV469" s="10"/>
      <c r="AW469" s="10"/>
      <c r="AX469" s="10"/>
      <c r="AY469" s="10"/>
      <c r="AZ469" s="10"/>
      <c r="BA469" s="10"/>
      <c r="BB469" s="10"/>
    </row>
    <row r="470" spans="28:54" s="12" customFormat="1" x14ac:dyDescent="0.25">
      <c r="AB470" s="10"/>
      <c r="AC470" s="10"/>
      <c r="AD470" s="10"/>
      <c r="AE470" s="10"/>
      <c r="AF470" s="10"/>
      <c r="AG470" s="10"/>
      <c r="AH470" s="10"/>
      <c r="AI470" s="10"/>
      <c r="AJ470" s="10"/>
      <c r="AK470" s="10"/>
      <c r="AL470" s="10"/>
      <c r="AM470" s="10"/>
      <c r="AN470" s="10"/>
      <c r="AO470" s="10"/>
      <c r="AP470" s="10"/>
      <c r="AQ470" s="10"/>
      <c r="AR470" s="10"/>
      <c r="AS470" s="10"/>
      <c r="AT470" s="10"/>
      <c r="AU470" s="10"/>
      <c r="AV470" s="10"/>
      <c r="AW470" s="10"/>
      <c r="AX470" s="10"/>
      <c r="AY470" s="10"/>
      <c r="AZ470" s="10"/>
      <c r="BA470" s="10"/>
      <c r="BB470" s="10"/>
    </row>
    <row r="471" spans="28:54" s="12" customFormat="1" x14ac:dyDescent="0.25">
      <c r="AB471" s="10"/>
      <c r="AC471" s="10"/>
      <c r="AD471" s="10"/>
      <c r="AE471" s="10"/>
      <c r="AF471" s="10"/>
      <c r="AG471" s="10"/>
      <c r="AH471" s="10"/>
      <c r="AI471" s="10"/>
      <c r="AJ471" s="10"/>
      <c r="AK471" s="10"/>
      <c r="AL471" s="10"/>
      <c r="AM471" s="10"/>
      <c r="AN471" s="10"/>
      <c r="AO471" s="10"/>
      <c r="AP471" s="10"/>
      <c r="AQ471" s="10"/>
      <c r="AR471" s="10"/>
      <c r="AS471" s="10"/>
      <c r="AT471" s="10"/>
      <c r="AU471" s="10"/>
      <c r="AV471" s="10"/>
      <c r="AW471" s="10"/>
      <c r="AX471" s="10"/>
      <c r="AY471" s="10"/>
      <c r="AZ471" s="10"/>
      <c r="BA471" s="10"/>
      <c r="BB471" s="10"/>
    </row>
    <row r="472" spans="28:54" s="12" customFormat="1" x14ac:dyDescent="0.25">
      <c r="AB472" s="10"/>
      <c r="AC472" s="10"/>
      <c r="AD472" s="10"/>
      <c r="AE472" s="10"/>
      <c r="AF472" s="10"/>
      <c r="AG472" s="10"/>
      <c r="AH472" s="10"/>
      <c r="AI472" s="10"/>
      <c r="AJ472" s="10"/>
      <c r="AK472" s="10"/>
      <c r="AL472" s="10"/>
      <c r="AM472" s="10"/>
      <c r="AN472" s="10"/>
      <c r="AO472" s="10"/>
      <c r="AP472" s="10"/>
      <c r="AQ472" s="10"/>
      <c r="AR472" s="10"/>
      <c r="AS472" s="10"/>
      <c r="AT472" s="10"/>
      <c r="AU472" s="10"/>
      <c r="AV472" s="10"/>
      <c r="AW472" s="10"/>
      <c r="AX472" s="10"/>
      <c r="AY472" s="10"/>
      <c r="AZ472" s="10"/>
      <c r="BA472" s="10"/>
      <c r="BB472" s="10"/>
    </row>
    <row r="473" spans="28:54" s="12" customFormat="1" x14ac:dyDescent="0.25">
      <c r="AB473" s="10"/>
      <c r="AC473" s="10"/>
      <c r="AD473" s="10"/>
      <c r="AE473" s="10"/>
      <c r="AF473" s="10"/>
      <c r="AG473" s="10"/>
      <c r="AH473" s="10"/>
      <c r="AI473" s="10"/>
      <c r="AJ473" s="10"/>
      <c r="AK473" s="10"/>
      <c r="AL473" s="10"/>
      <c r="AM473" s="10"/>
      <c r="AN473" s="10"/>
      <c r="AO473" s="10"/>
      <c r="AP473" s="10"/>
      <c r="AQ473" s="10"/>
      <c r="AR473" s="10"/>
      <c r="AS473" s="10"/>
      <c r="AT473" s="10"/>
      <c r="AU473" s="10"/>
      <c r="AV473" s="10"/>
      <c r="AW473" s="10"/>
      <c r="AX473" s="10"/>
      <c r="AY473" s="10"/>
      <c r="AZ473" s="10"/>
      <c r="BA473" s="10"/>
      <c r="BB473" s="10"/>
    </row>
    <row r="474" spans="28:54" s="12" customFormat="1" x14ac:dyDescent="0.25">
      <c r="AB474" s="10"/>
      <c r="AC474" s="10"/>
      <c r="AD474" s="10"/>
      <c r="AE474" s="10"/>
      <c r="AF474" s="10"/>
      <c r="AG474" s="10"/>
      <c r="AH474" s="10"/>
      <c r="AI474" s="10"/>
      <c r="AJ474" s="10"/>
      <c r="AK474" s="10"/>
      <c r="AL474" s="10"/>
      <c r="AM474" s="10"/>
      <c r="AN474" s="10"/>
      <c r="AO474" s="10"/>
      <c r="AP474" s="10"/>
      <c r="AQ474" s="10"/>
      <c r="AR474" s="10"/>
      <c r="AS474" s="10"/>
      <c r="AT474" s="10"/>
      <c r="AU474" s="10"/>
      <c r="AV474" s="10"/>
      <c r="AW474" s="10"/>
      <c r="AX474" s="10"/>
      <c r="AY474" s="10"/>
      <c r="AZ474" s="10"/>
      <c r="BA474" s="10"/>
      <c r="BB474" s="10"/>
    </row>
    <row r="475" spans="28:54" s="12" customFormat="1" x14ac:dyDescent="0.25">
      <c r="AB475" s="10"/>
      <c r="AC475" s="10"/>
      <c r="AD475" s="10"/>
      <c r="AE475" s="10"/>
      <c r="AF475" s="10"/>
      <c r="AG475" s="10"/>
      <c r="AH475" s="10"/>
      <c r="AI475" s="10"/>
      <c r="AJ475" s="10"/>
      <c r="AK475" s="10"/>
      <c r="AL475" s="10"/>
      <c r="AM475" s="10"/>
      <c r="AN475" s="10"/>
      <c r="AO475" s="10"/>
      <c r="AP475" s="10"/>
      <c r="AQ475" s="10"/>
      <c r="AR475" s="10"/>
      <c r="AS475" s="10"/>
      <c r="AT475" s="10"/>
      <c r="AU475" s="10"/>
      <c r="AV475" s="10"/>
      <c r="AW475" s="10"/>
      <c r="AX475" s="10"/>
      <c r="AY475" s="10"/>
      <c r="AZ475" s="10"/>
      <c r="BA475" s="10"/>
      <c r="BB475" s="10"/>
    </row>
    <row r="476" spans="28:54" s="12" customFormat="1" x14ac:dyDescent="0.25">
      <c r="AB476" s="10"/>
      <c r="AC476" s="10"/>
      <c r="AD476" s="10"/>
      <c r="AE476" s="10"/>
      <c r="AF476" s="10"/>
      <c r="AG476" s="10"/>
      <c r="AH476" s="10"/>
      <c r="AI476" s="10"/>
      <c r="AJ476" s="10"/>
      <c r="AK476" s="10"/>
      <c r="AL476" s="10"/>
      <c r="AM476" s="10"/>
      <c r="AN476" s="10"/>
      <c r="AO476" s="10"/>
      <c r="AP476" s="10"/>
      <c r="AQ476" s="10"/>
      <c r="AR476" s="10"/>
      <c r="AS476" s="10"/>
      <c r="AT476" s="10"/>
      <c r="AU476" s="10"/>
      <c r="AV476" s="10"/>
      <c r="AW476" s="10"/>
      <c r="AX476" s="10"/>
      <c r="AY476" s="10"/>
      <c r="AZ476" s="10"/>
      <c r="BA476" s="10"/>
      <c r="BB476" s="10"/>
    </row>
    <row r="477" spans="28:54" s="12" customFormat="1" x14ac:dyDescent="0.25">
      <c r="AB477" s="10"/>
      <c r="AC477" s="10"/>
      <c r="AD477" s="10"/>
      <c r="AE477" s="10"/>
      <c r="AF477" s="10"/>
      <c r="AG477" s="10"/>
      <c r="AH477" s="10"/>
      <c r="AI477" s="10"/>
      <c r="AJ477" s="10"/>
      <c r="AK477" s="10"/>
      <c r="AL477" s="10"/>
      <c r="AM477" s="10"/>
      <c r="AN477" s="10"/>
      <c r="AO477" s="10"/>
      <c r="AP477" s="10"/>
      <c r="AQ477" s="10"/>
      <c r="AR477" s="10"/>
      <c r="AS477" s="10"/>
      <c r="AT477" s="10"/>
      <c r="AU477" s="10"/>
      <c r="AV477" s="10"/>
      <c r="AW477" s="10"/>
      <c r="AX477" s="10"/>
      <c r="AY477" s="10"/>
      <c r="AZ477" s="10"/>
      <c r="BA477" s="10"/>
      <c r="BB477" s="10"/>
    </row>
    <row r="478" spans="28:54" s="12" customFormat="1" x14ac:dyDescent="0.25">
      <c r="AB478" s="10"/>
      <c r="AC478" s="10"/>
      <c r="AD478" s="10"/>
      <c r="AE478" s="10"/>
      <c r="AF478" s="10"/>
      <c r="AG478" s="10"/>
      <c r="AH478" s="10"/>
      <c r="AI478" s="10"/>
      <c r="AJ478" s="10"/>
      <c r="AK478" s="10"/>
      <c r="AL478" s="10"/>
      <c r="AM478" s="10"/>
      <c r="AN478" s="10"/>
      <c r="AO478" s="10"/>
      <c r="AP478" s="10"/>
      <c r="AQ478" s="10"/>
      <c r="AR478" s="10"/>
      <c r="AS478" s="10"/>
      <c r="AT478" s="10"/>
      <c r="AU478" s="10"/>
      <c r="AV478" s="10"/>
      <c r="AW478" s="10"/>
      <c r="AX478" s="10"/>
      <c r="AY478" s="10"/>
      <c r="AZ478" s="10"/>
      <c r="BA478" s="10"/>
      <c r="BB478" s="10"/>
    </row>
    <row r="479" spans="28:54" s="12" customFormat="1" x14ac:dyDescent="0.25">
      <c r="AB479" s="10"/>
      <c r="AC479" s="10"/>
      <c r="AD479" s="10"/>
      <c r="AE479" s="10"/>
      <c r="AF479" s="10"/>
      <c r="AG479" s="10"/>
      <c r="AH479" s="10"/>
      <c r="AI479" s="10"/>
      <c r="AJ479" s="10"/>
      <c r="AK479" s="10"/>
      <c r="AL479" s="10"/>
      <c r="AM479" s="10"/>
      <c r="AN479" s="10"/>
      <c r="AO479" s="10"/>
      <c r="AP479" s="10"/>
      <c r="AQ479" s="10"/>
      <c r="AR479" s="10"/>
      <c r="AS479" s="10"/>
      <c r="AT479" s="10"/>
      <c r="AU479" s="10"/>
      <c r="AV479" s="10"/>
      <c r="AW479" s="10"/>
      <c r="AX479" s="10"/>
      <c r="AY479" s="10"/>
      <c r="AZ479" s="10"/>
      <c r="BA479" s="10"/>
      <c r="BB479" s="10"/>
    </row>
    <row r="480" spans="28:54" s="12" customFormat="1" x14ac:dyDescent="0.25">
      <c r="AB480" s="10"/>
      <c r="AC480" s="10"/>
      <c r="AD480" s="10"/>
      <c r="AE480" s="10"/>
      <c r="AF480" s="10"/>
      <c r="AG480" s="10"/>
      <c r="AH480" s="10"/>
      <c r="AI480" s="10"/>
      <c r="AJ480" s="10"/>
      <c r="AK480" s="10"/>
      <c r="AL480" s="10"/>
      <c r="AM480" s="10"/>
      <c r="AN480" s="10"/>
      <c r="AO480" s="10"/>
      <c r="AP480" s="10"/>
      <c r="AQ480" s="10"/>
      <c r="AR480" s="10"/>
      <c r="AS480" s="10"/>
      <c r="AT480" s="10"/>
      <c r="AU480" s="10"/>
      <c r="AV480" s="10"/>
      <c r="AW480" s="10"/>
      <c r="AX480" s="10"/>
      <c r="AY480" s="10"/>
      <c r="AZ480" s="10"/>
      <c r="BA480" s="10"/>
      <c r="BB480" s="10"/>
    </row>
    <row r="481" spans="28:54" s="12" customFormat="1" x14ac:dyDescent="0.25">
      <c r="AB481" s="10"/>
      <c r="AC481" s="10"/>
      <c r="AD481" s="10"/>
      <c r="AE481" s="10"/>
      <c r="AF481" s="10"/>
      <c r="AG481" s="10"/>
      <c r="AH481" s="10"/>
      <c r="AI481" s="10"/>
      <c r="AJ481" s="10"/>
      <c r="AK481" s="10"/>
      <c r="AL481" s="10"/>
      <c r="AM481" s="10"/>
      <c r="AN481" s="10"/>
      <c r="AO481" s="10"/>
      <c r="AP481" s="10"/>
      <c r="AQ481" s="10"/>
      <c r="AR481" s="10"/>
      <c r="AS481" s="10"/>
      <c r="AT481" s="10"/>
      <c r="AU481" s="10"/>
      <c r="AV481" s="10"/>
      <c r="AW481" s="10"/>
      <c r="AX481" s="10"/>
      <c r="AY481" s="10"/>
      <c r="AZ481" s="10"/>
      <c r="BA481" s="10"/>
      <c r="BB481" s="10"/>
    </row>
    <row r="482" spans="28:54" s="12" customFormat="1" x14ac:dyDescent="0.25">
      <c r="AB482" s="10"/>
      <c r="AC482" s="10"/>
      <c r="AD482" s="10"/>
      <c r="AE482" s="10"/>
      <c r="AF482" s="10"/>
      <c r="AG482" s="10"/>
      <c r="AH482" s="10"/>
      <c r="AI482" s="10"/>
      <c r="AJ482" s="10"/>
      <c r="AK482" s="10"/>
      <c r="AL482" s="10"/>
      <c r="AM482" s="10"/>
      <c r="AN482" s="10"/>
      <c r="AO482" s="10"/>
      <c r="AP482" s="10"/>
      <c r="AQ482" s="10"/>
      <c r="AR482" s="10"/>
      <c r="AS482" s="10"/>
      <c r="AT482" s="10"/>
      <c r="AU482" s="10"/>
      <c r="AV482" s="10"/>
      <c r="AW482" s="10"/>
      <c r="AX482" s="10"/>
      <c r="AY482" s="10"/>
      <c r="AZ482" s="10"/>
      <c r="BA482" s="10"/>
      <c r="BB482" s="10"/>
    </row>
    <row r="483" spans="28:54" s="12" customFormat="1" x14ac:dyDescent="0.25">
      <c r="AB483" s="10"/>
      <c r="AC483" s="10"/>
      <c r="AD483" s="10"/>
      <c r="AE483" s="10"/>
      <c r="AF483" s="10"/>
      <c r="AG483" s="10"/>
      <c r="AH483" s="10"/>
      <c r="AI483" s="10"/>
      <c r="AJ483" s="10"/>
      <c r="AK483" s="10"/>
      <c r="AL483" s="10"/>
      <c r="AM483" s="10"/>
      <c r="AN483" s="10"/>
      <c r="AO483" s="10"/>
      <c r="AP483" s="10"/>
      <c r="AQ483" s="10"/>
      <c r="AR483" s="10"/>
      <c r="AS483" s="10"/>
      <c r="AT483" s="10"/>
      <c r="AU483" s="10"/>
      <c r="AV483" s="10"/>
      <c r="AW483" s="10"/>
      <c r="AX483" s="10"/>
      <c r="AY483" s="10"/>
      <c r="AZ483" s="10"/>
      <c r="BA483" s="10"/>
      <c r="BB483" s="10"/>
    </row>
    <row r="484" spans="28:54" s="12" customFormat="1" x14ac:dyDescent="0.25">
      <c r="AB484" s="10"/>
      <c r="AC484" s="10"/>
      <c r="AD484" s="10"/>
      <c r="AE484" s="10"/>
      <c r="AF484" s="10"/>
      <c r="AG484" s="10"/>
      <c r="AH484" s="10"/>
      <c r="AI484" s="10"/>
      <c r="AJ484" s="10"/>
      <c r="AK484" s="10"/>
      <c r="AL484" s="10"/>
      <c r="AM484" s="10"/>
      <c r="AN484" s="10"/>
      <c r="AO484" s="10"/>
      <c r="AP484" s="10"/>
      <c r="AQ484" s="10"/>
      <c r="AR484" s="10"/>
      <c r="AS484" s="10"/>
      <c r="AT484" s="10"/>
      <c r="AU484" s="10"/>
      <c r="AV484" s="10"/>
      <c r="AW484" s="10"/>
      <c r="AX484" s="10"/>
      <c r="AY484" s="10"/>
      <c r="AZ484" s="10"/>
      <c r="BA484" s="10"/>
      <c r="BB484" s="10"/>
    </row>
    <row r="485" spans="28:54" s="12" customFormat="1" x14ac:dyDescent="0.25">
      <c r="AB485" s="10"/>
      <c r="AC485" s="10"/>
      <c r="AD485" s="10"/>
      <c r="AE485" s="10"/>
      <c r="AF485" s="10"/>
      <c r="AG485" s="10"/>
      <c r="AH485" s="10"/>
      <c r="AI485" s="10"/>
      <c r="AJ485" s="10"/>
      <c r="AK485" s="10"/>
      <c r="AL485" s="10"/>
      <c r="AM485" s="10"/>
      <c r="AN485" s="10"/>
      <c r="AO485" s="10"/>
      <c r="AP485" s="10"/>
      <c r="AQ485" s="10"/>
      <c r="AR485" s="10"/>
      <c r="AS485" s="10"/>
      <c r="AT485" s="10"/>
      <c r="AU485" s="10"/>
      <c r="AV485" s="10"/>
      <c r="AW485" s="10"/>
      <c r="AX485" s="10"/>
      <c r="AY485" s="10"/>
      <c r="AZ485" s="10"/>
      <c r="BA485" s="10"/>
      <c r="BB485" s="10"/>
    </row>
    <row r="486" spans="28:54" s="12" customFormat="1" x14ac:dyDescent="0.25">
      <c r="AB486" s="10"/>
      <c r="AC486" s="10"/>
      <c r="AD486" s="10"/>
      <c r="AE486" s="10"/>
      <c r="AF486" s="10"/>
      <c r="AG486" s="10"/>
      <c r="AH486" s="10"/>
      <c r="AI486" s="10"/>
      <c r="AJ486" s="10"/>
      <c r="AK486" s="10"/>
      <c r="AL486" s="10"/>
      <c r="AM486" s="10"/>
      <c r="AN486" s="10"/>
      <c r="AO486" s="10"/>
      <c r="AP486" s="10"/>
      <c r="AQ486" s="10"/>
      <c r="AR486" s="10"/>
      <c r="AS486" s="10"/>
      <c r="AT486" s="10"/>
      <c r="AU486" s="10"/>
      <c r="AV486" s="10"/>
      <c r="AW486" s="10"/>
      <c r="AX486" s="10"/>
      <c r="AY486" s="10"/>
      <c r="AZ486" s="10"/>
      <c r="BA486" s="10"/>
      <c r="BB486" s="10"/>
    </row>
    <row r="487" spans="28:54" s="12" customFormat="1" x14ac:dyDescent="0.25">
      <c r="AB487" s="10"/>
      <c r="AC487" s="10"/>
      <c r="AD487" s="10"/>
      <c r="AE487" s="10"/>
      <c r="AF487" s="10"/>
      <c r="AG487" s="10"/>
      <c r="AH487" s="10"/>
      <c r="AI487" s="10"/>
      <c r="AJ487" s="10"/>
      <c r="AK487" s="10"/>
      <c r="AL487" s="10"/>
      <c r="AM487" s="10"/>
      <c r="AN487" s="10"/>
      <c r="AO487" s="10"/>
      <c r="AP487" s="10"/>
      <c r="AQ487" s="10"/>
      <c r="AR487" s="10"/>
      <c r="AS487" s="10"/>
      <c r="AT487" s="10"/>
      <c r="AU487" s="10"/>
      <c r="AV487" s="10"/>
      <c r="AW487" s="10"/>
      <c r="AX487" s="10"/>
      <c r="AY487" s="10"/>
      <c r="AZ487" s="10"/>
      <c r="BA487" s="10"/>
      <c r="BB487" s="10"/>
    </row>
    <row r="488" spans="28:54" s="12" customFormat="1" x14ac:dyDescent="0.25">
      <c r="AB488" s="10"/>
      <c r="AC488" s="10"/>
      <c r="AD488" s="10"/>
      <c r="AE488" s="10"/>
      <c r="AF488" s="10"/>
      <c r="AG488" s="10"/>
      <c r="AH488" s="10"/>
      <c r="AI488" s="10"/>
      <c r="AJ488" s="10"/>
      <c r="AK488" s="10"/>
      <c r="AL488" s="10"/>
      <c r="AM488" s="10"/>
      <c r="AN488" s="10"/>
      <c r="AO488" s="10"/>
      <c r="AP488" s="10"/>
      <c r="AQ488" s="10"/>
      <c r="AR488" s="10"/>
      <c r="AS488" s="10"/>
      <c r="AT488" s="10"/>
      <c r="AU488" s="10"/>
      <c r="AV488" s="10"/>
      <c r="AW488" s="10"/>
      <c r="AX488" s="10"/>
      <c r="AY488" s="10"/>
      <c r="AZ488" s="10"/>
      <c r="BA488" s="10"/>
      <c r="BB488" s="10"/>
    </row>
    <row r="489" spans="28:54" s="12" customFormat="1" x14ac:dyDescent="0.25">
      <c r="AB489" s="10"/>
      <c r="AC489" s="10"/>
      <c r="AD489" s="10"/>
      <c r="AE489" s="10"/>
      <c r="AF489" s="10"/>
      <c r="AG489" s="10"/>
      <c r="AH489" s="10"/>
      <c r="AI489" s="10"/>
      <c r="AJ489" s="10"/>
      <c r="AK489" s="10"/>
      <c r="AL489" s="10"/>
      <c r="AM489" s="10"/>
      <c r="AN489" s="10"/>
      <c r="AO489" s="10"/>
      <c r="AP489" s="10"/>
      <c r="AQ489" s="10"/>
      <c r="AR489" s="10"/>
      <c r="AS489" s="10"/>
      <c r="AT489" s="10"/>
      <c r="AU489" s="10"/>
      <c r="AV489" s="10"/>
      <c r="AW489" s="10"/>
      <c r="AX489" s="10"/>
      <c r="AY489" s="10"/>
      <c r="AZ489" s="10"/>
      <c r="BA489" s="10"/>
      <c r="BB489" s="10"/>
    </row>
    <row r="490" spans="28:54" s="12" customFormat="1" x14ac:dyDescent="0.25">
      <c r="AB490" s="10"/>
      <c r="AC490" s="10"/>
      <c r="AD490" s="10"/>
      <c r="AE490" s="10"/>
      <c r="AF490" s="10"/>
      <c r="AG490" s="10"/>
      <c r="AH490" s="10"/>
      <c r="AI490" s="10"/>
      <c r="AJ490" s="10"/>
      <c r="AK490" s="10"/>
      <c r="AL490" s="10"/>
      <c r="AM490" s="10"/>
      <c r="AN490" s="10"/>
      <c r="AO490" s="10"/>
      <c r="AP490" s="10"/>
      <c r="AQ490" s="10"/>
      <c r="AR490" s="10"/>
      <c r="AS490" s="10"/>
      <c r="AT490" s="10"/>
      <c r="AU490" s="10"/>
      <c r="AV490" s="10"/>
      <c r="AW490" s="10"/>
      <c r="AX490" s="10"/>
      <c r="AY490" s="10"/>
      <c r="AZ490" s="10"/>
      <c r="BA490" s="10"/>
      <c r="BB490" s="10"/>
    </row>
    <row r="491" spans="28:54" s="12" customFormat="1" x14ac:dyDescent="0.25">
      <c r="AB491" s="10"/>
      <c r="AC491" s="10"/>
      <c r="AD491" s="10"/>
      <c r="AE491" s="10"/>
      <c r="AF491" s="10"/>
      <c r="AG491" s="10"/>
      <c r="AH491" s="10"/>
      <c r="AI491" s="10"/>
      <c r="AJ491" s="10"/>
      <c r="AK491" s="10"/>
      <c r="AL491" s="10"/>
      <c r="AM491" s="10"/>
      <c r="AN491" s="10"/>
      <c r="AO491" s="10"/>
      <c r="AP491" s="10"/>
      <c r="AQ491" s="10"/>
      <c r="AR491" s="10"/>
      <c r="AS491" s="10"/>
      <c r="AT491" s="10"/>
      <c r="AU491" s="10"/>
      <c r="AV491" s="10"/>
      <c r="AW491" s="10"/>
      <c r="AX491" s="10"/>
      <c r="AY491" s="10"/>
      <c r="AZ491" s="10"/>
      <c r="BA491" s="10"/>
      <c r="BB491" s="10"/>
    </row>
    <row r="492" spans="28:54" s="12" customFormat="1" x14ac:dyDescent="0.25">
      <c r="AB492" s="10"/>
      <c r="AC492" s="10"/>
      <c r="AD492" s="10"/>
      <c r="AE492" s="10"/>
      <c r="AF492" s="10"/>
      <c r="AG492" s="10"/>
      <c r="AH492" s="10"/>
      <c r="AI492" s="10"/>
      <c r="AJ492" s="10"/>
      <c r="AK492" s="10"/>
      <c r="AL492" s="10"/>
      <c r="AM492" s="10"/>
      <c r="AN492" s="10"/>
      <c r="AO492" s="10"/>
      <c r="AP492" s="10"/>
      <c r="AQ492" s="10"/>
      <c r="AR492" s="10"/>
      <c r="AS492" s="10"/>
      <c r="AT492" s="10"/>
      <c r="AU492" s="10"/>
      <c r="AV492" s="10"/>
      <c r="AW492" s="10"/>
      <c r="AX492" s="10"/>
      <c r="AY492" s="10"/>
      <c r="AZ492" s="10"/>
      <c r="BA492" s="10"/>
      <c r="BB492" s="10"/>
    </row>
    <row r="493" spans="28:54" s="12" customFormat="1" x14ac:dyDescent="0.25">
      <c r="AB493" s="10"/>
      <c r="AC493" s="10"/>
      <c r="AD493" s="10"/>
      <c r="AE493" s="10"/>
      <c r="AF493" s="10"/>
      <c r="AG493" s="10"/>
      <c r="AH493" s="10"/>
      <c r="AI493" s="10"/>
      <c r="AJ493" s="10"/>
      <c r="AK493" s="10"/>
      <c r="AL493" s="10"/>
      <c r="AM493" s="10"/>
      <c r="AN493" s="10"/>
      <c r="AO493" s="10"/>
      <c r="AP493" s="10"/>
      <c r="AQ493" s="10"/>
      <c r="AR493" s="10"/>
      <c r="AS493" s="10"/>
      <c r="AT493" s="10"/>
      <c r="AU493" s="10"/>
      <c r="AV493" s="10"/>
      <c r="AW493" s="10"/>
      <c r="AX493" s="10"/>
      <c r="AY493" s="10"/>
      <c r="AZ493" s="10"/>
      <c r="BA493" s="10"/>
      <c r="BB493" s="10"/>
    </row>
    <row r="494" spans="28:54" s="12" customFormat="1" x14ac:dyDescent="0.25">
      <c r="AB494" s="10"/>
      <c r="AC494" s="10"/>
      <c r="AD494" s="10"/>
      <c r="AE494" s="10"/>
      <c r="AF494" s="10"/>
      <c r="AG494" s="10"/>
      <c r="AH494" s="10"/>
      <c r="AI494" s="10"/>
      <c r="AJ494" s="10"/>
      <c r="AK494" s="10"/>
      <c r="AL494" s="10"/>
      <c r="AM494" s="10"/>
      <c r="AN494" s="10"/>
      <c r="AO494" s="10"/>
      <c r="AP494" s="10"/>
      <c r="AQ494" s="10"/>
      <c r="AR494" s="10"/>
      <c r="AS494" s="10"/>
      <c r="AT494" s="10"/>
      <c r="AU494" s="10"/>
      <c r="AV494" s="10"/>
      <c r="AW494" s="10"/>
      <c r="AX494" s="10"/>
      <c r="AY494" s="10"/>
      <c r="AZ494" s="10"/>
      <c r="BA494" s="10"/>
      <c r="BB494" s="10"/>
    </row>
    <row r="495" spans="28:54" s="12" customFormat="1" x14ac:dyDescent="0.25">
      <c r="AB495" s="10"/>
      <c r="AC495" s="10"/>
      <c r="AD495" s="10"/>
      <c r="AE495" s="10"/>
      <c r="AF495" s="10"/>
      <c r="AG495" s="10"/>
      <c r="AH495" s="10"/>
      <c r="AI495" s="10"/>
      <c r="AJ495" s="10"/>
      <c r="AK495" s="10"/>
      <c r="AL495" s="10"/>
      <c r="AM495" s="10"/>
      <c r="AN495" s="10"/>
      <c r="AO495" s="10"/>
      <c r="AP495" s="10"/>
      <c r="AQ495" s="10"/>
      <c r="AR495" s="10"/>
      <c r="AS495" s="10"/>
      <c r="AT495" s="10"/>
      <c r="AU495" s="10"/>
      <c r="AV495" s="10"/>
      <c r="AW495" s="10"/>
      <c r="AX495" s="10"/>
      <c r="AY495" s="10"/>
      <c r="AZ495" s="10"/>
      <c r="BA495" s="10"/>
      <c r="BB495" s="10"/>
    </row>
    <row r="496" spans="28:54" s="12" customFormat="1" x14ac:dyDescent="0.25">
      <c r="AB496" s="10"/>
      <c r="AC496" s="10"/>
      <c r="AD496" s="10"/>
      <c r="AE496" s="10"/>
      <c r="AF496" s="10"/>
      <c r="AG496" s="10"/>
      <c r="AH496" s="10"/>
      <c r="AI496" s="10"/>
      <c r="AJ496" s="10"/>
      <c r="AK496" s="10"/>
      <c r="AL496" s="10"/>
      <c r="AM496" s="10"/>
      <c r="AN496" s="10"/>
      <c r="AO496" s="10"/>
      <c r="AP496" s="10"/>
      <c r="AQ496" s="10"/>
      <c r="AR496" s="10"/>
      <c r="AS496" s="10"/>
      <c r="AT496" s="10"/>
      <c r="AU496" s="10"/>
      <c r="AV496" s="10"/>
      <c r="AW496" s="10"/>
      <c r="AX496" s="10"/>
      <c r="AY496" s="10"/>
      <c r="AZ496" s="10"/>
      <c r="BA496" s="10"/>
      <c r="BB496" s="10"/>
    </row>
    <row r="497" spans="28:54" s="12" customFormat="1" x14ac:dyDescent="0.25">
      <c r="AB497" s="10"/>
      <c r="AC497" s="10"/>
      <c r="AD497" s="10"/>
      <c r="AE497" s="10"/>
      <c r="AF497" s="10"/>
      <c r="AG497" s="10"/>
      <c r="AH497" s="10"/>
      <c r="AI497" s="10"/>
      <c r="AJ497" s="10"/>
      <c r="AK497" s="10"/>
      <c r="AL497" s="10"/>
      <c r="AM497" s="10"/>
      <c r="AN497" s="10"/>
      <c r="AO497" s="10"/>
      <c r="AP497" s="10"/>
      <c r="AQ497" s="10"/>
      <c r="AR497" s="10"/>
      <c r="AS497" s="10"/>
      <c r="AT497" s="10"/>
      <c r="AU497" s="10"/>
      <c r="AV497" s="10"/>
      <c r="AW497" s="10"/>
      <c r="AX497" s="10"/>
      <c r="AY497" s="10"/>
      <c r="AZ497" s="10"/>
      <c r="BA497" s="10"/>
      <c r="BB497" s="10"/>
    </row>
    <row r="498" spans="28:54" s="12" customFormat="1" x14ac:dyDescent="0.25">
      <c r="AB498" s="10"/>
      <c r="AC498" s="10"/>
      <c r="AD498" s="10"/>
      <c r="AE498" s="10"/>
      <c r="AF498" s="10"/>
      <c r="AG498" s="10"/>
      <c r="AH498" s="10"/>
      <c r="AI498" s="10"/>
      <c r="AJ498" s="10"/>
      <c r="AK498" s="10"/>
      <c r="AL498" s="10"/>
      <c r="AM498" s="10"/>
      <c r="AN498" s="10"/>
      <c r="AO498" s="10"/>
      <c r="AP498" s="10"/>
      <c r="AQ498" s="10"/>
      <c r="AR498" s="10"/>
      <c r="AS498" s="10"/>
      <c r="AT498" s="10"/>
      <c r="AU498" s="10"/>
      <c r="AV498" s="10"/>
      <c r="AW498" s="10"/>
      <c r="AX498" s="10"/>
      <c r="AY498" s="10"/>
      <c r="AZ498" s="10"/>
      <c r="BA498" s="10"/>
      <c r="BB498" s="10"/>
    </row>
    <row r="499" spans="28:54" s="12" customFormat="1" x14ac:dyDescent="0.25">
      <c r="AB499" s="10"/>
      <c r="AC499" s="10"/>
      <c r="AD499" s="10"/>
      <c r="AE499" s="10"/>
      <c r="AF499" s="10"/>
      <c r="AG499" s="10"/>
      <c r="AH499" s="10"/>
      <c r="AI499" s="10"/>
      <c r="AJ499" s="10"/>
      <c r="AK499" s="10"/>
      <c r="AL499" s="10"/>
      <c r="AM499" s="10"/>
      <c r="AN499" s="10"/>
      <c r="AO499" s="10"/>
      <c r="AP499" s="10"/>
      <c r="AQ499" s="10"/>
      <c r="AR499" s="10"/>
      <c r="AS499" s="10"/>
      <c r="AT499" s="10"/>
      <c r="AU499" s="10"/>
      <c r="AV499" s="10"/>
      <c r="AW499" s="10"/>
      <c r="AX499" s="10"/>
      <c r="AY499" s="10"/>
      <c r="AZ499" s="10"/>
      <c r="BA499" s="10"/>
      <c r="BB499" s="10"/>
    </row>
    <row r="500" spans="28:54" s="12" customFormat="1" x14ac:dyDescent="0.25">
      <c r="AB500" s="10"/>
      <c r="AC500" s="10"/>
      <c r="AD500" s="10"/>
      <c r="AE500" s="10"/>
      <c r="AF500" s="10"/>
      <c r="AG500" s="10"/>
      <c r="AH500" s="10"/>
      <c r="AI500" s="10"/>
      <c r="AJ500" s="10"/>
      <c r="AK500" s="10"/>
      <c r="AL500" s="10"/>
      <c r="AM500" s="10"/>
      <c r="AN500" s="10"/>
      <c r="AO500" s="10"/>
      <c r="AP500" s="10"/>
      <c r="AQ500" s="10"/>
      <c r="AR500" s="10"/>
      <c r="AS500" s="10"/>
      <c r="AT500" s="10"/>
      <c r="AU500" s="10"/>
      <c r="AV500" s="10"/>
      <c r="AW500" s="10"/>
      <c r="AX500" s="10"/>
      <c r="AY500" s="10"/>
      <c r="AZ500" s="10"/>
      <c r="BA500" s="10"/>
      <c r="BB500" s="10"/>
    </row>
    <row r="501" spans="28:54" s="12" customFormat="1" x14ac:dyDescent="0.25">
      <c r="AB501" s="10"/>
      <c r="AC501" s="10"/>
      <c r="AD501" s="10"/>
      <c r="AE501" s="10"/>
      <c r="AF501" s="10"/>
      <c r="AG501" s="10"/>
      <c r="AH501" s="10"/>
      <c r="AI501" s="10"/>
      <c r="AJ501" s="10"/>
      <c r="AK501" s="10"/>
      <c r="AL501" s="10"/>
      <c r="AM501" s="10"/>
      <c r="AN501" s="10"/>
      <c r="AO501" s="10"/>
      <c r="AP501" s="10"/>
      <c r="AQ501" s="10"/>
      <c r="AR501" s="10"/>
      <c r="AS501" s="10"/>
      <c r="AT501" s="10"/>
      <c r="AU501" s="10"/>
      <c r="AV501" s="10"/>
      <c r="AW501" s="10"/>
      <c r="AX501" s="10"/>
      <c r="AY501" s="10"/>
      <c r="AZ501" s="10"/>
      <c r="BA501" s="10"/>
      <c r="BB501" s="10"/>
    </row>
    <row r="502" spans="28:54" s="12" customFormat="1" x14ac:dyDescent="0.25">
      <c r="AB502" s="10"/>
      <c r="AC502" s="10"/>
      <c r="AD502" s="10"/>
      <c r="AE502" s="10"/>
      <c r="AF502" s="10"/>
      <c r="AG502" s="10"/>
      <c r="AH502" s="10"/>
      <c r="AI502" s="10"/>
      <c r="AJ502" s="10"/>
      <c r="AK502" s="10"/>
      <c r="AL502" s="10"/>
      <c r="AM502" s="10"/>
      <c r="AN502" s="10"/>
      <c r="AO502" s="10"/>
      <c r="AP502" s="10"/>
      <c r="AQ502" s="10"/>
      <c r="AR502" s="10"/>
      <c r="AS502" s="10"/>
      <c r="AT502" s="10"/>
      <c r="AU502" s="10"/>
      <c r="AV502" s="10"/>
      <c r="AW502" s="10"/>
      <c r="AX502" s="10"/>
      <c r="AY502" s="10"/>
      <c r="AZ502" s="10"/>
      <c r="BA502" s="10"/>
      <c r="BB502" s="10"/>
    </row>
    <row r="503" spans="28:54" s="12" customFormat="1" x14ac:dyDescent="0.25">
      <c r="AB503" s="10"/>
      <c r="AC503" s="10"/>
      <c r="AD503" s="10"/>
      <c r="AE503" s="10"/>
      <c r="AF503" s="10"/>
      <c r="AG503" s="10"/>
      <c r="AH503" s="10"/>
      <c r="AI503" s="10"/>
      <c r="AJ503" s="10"/>
      <c r="AK503" s="10"/>
      <c r="AL503" s="10"/>
      <c r="AM503" s="10"/>
      <c r="AN503" s="10"/>
      <c r="AO503" s="10"/>
      <c r="AP503" s="10"/>
      <c r="AQ503" s="10"/>
      <c r="AR503" s="10"/>
      <c r="AS503" s="10"/>
      <c r="AT503" s="10"/>
      <c r="AU503" s="10"/>
      <c r="AV503" s="10"/>
      <c r="AW503" s="10"/>
      <c r="AX503" s="10"/>
      <c r="AY503" s="10"/>
      <c r="AZ503" s="10"/>
      <c r="BA503" s="10"/>
      <c r="BB503" s="10"/>
    </row>
    <row r="504" spans="28:54" s="12" customFormat="1" x14ac:dyDescent="0.25">
      <c r="AB504" s="10"/>
      <c r="AC504" s="10"/>
      <c r="AD504" s="10"/>
      <c r="AE504" s="10"/>
      <c r="AF504" s="10"/>
      <c r="AG504" s="10"/>
      <c r="AH504" s="10"/>
      <c r="AI504" s="10"/>
      <c r="AJ504" s="10"/>
      <c r="AK504" s="10"/>
      <c r="AL504" s="10"/>
      <c r="AM504" s="10"/>
      <c r="AN504" s="10"/>
      <c r="AO504" s="10"/>
      <c r="AP504" s="10"/>
      <c r="AQ504" s="10"/>
      <c r="AR504" s="10"/>
      <c r="AS504" s="10"/>
      <c r="AT504" s="10"/>
      <c r="AU504" s="10"/>
      <c r="AV504" s="10"/>
      <c r="AW504" s="10"/>
      <c r="AX504" s="10"/>
      <c r="AY504" s="10"/>
      <c r="AZ504" s="10"/>
      <c r="BA504" s="10"/>
      <c r="BB504" s="10"/>
    </row>
    <row r="505" spans="28:54" s="12" customFormat="1" x14ac:dyDescent="0.25">
      <c r="AB505" s="10"/>
      <c r="AC505" s="10"/>
      <c r="AD505" s="10"/>
      <c r="AE505" s="10"/>
      <c r="AF505" s="10"/>
      <c r="AG505" s="10"/>
      <c r="AH505" s="10"/>
      <c r="AI505" s="10"/>
      <c r="AJ505" s="10"/>
      <c r="AK505" s="10"/>
      <c r="AL505" s="10"/>
      <c r="AM505" s="10"/>
      <c r="AN505" s="10"/>
      <c r="AO505" s="10"/>
      <c r="AP505" s="10"/>
      <c r="AQ505" s="10"/>
      <c r="AR505" s="10"/>
      <c r="AS505" s="10"/>
      <c r="AT505" s="10"/>
      <c r="AU505" s="10"/>
      <c r="AV505" s="10"/>
      <c r="AW505" s="10"/>
      <c r="AX505" s="10"/>
      <c r="AY505" s="10"/>
      <c r="AZ505" s="10"/>
      <c r="BA505" s="10"/>
      <c r="BB505" s="10"/>
    </row>
    <row r="506" spans="28:54" s="12" customFormat="1" x14ac:dyDescent="0.25">
      <c r="AB506" s="10"/>
      <c r="AC506" s="10"/>
      <c r="AD506" s="10"/>
      <c r="AE506" s="10"/>
      <c r="AF506" s="10"/>
      <c r="AG506" s="10"/>
      <c r="AH506" s="10"/>
      <c r="AI506" s="10"/>
      <c r="AJ506" s="10"/>
      <c r="AK506" s="10"/>
      <c r="AL506" s="10"/>
      <c r="AM506" s="10"/>
      <c r="AN506" s="10"/>
      <c r="AO506" s="10"/>
      <c r="AP506" s="10"/>
      <c r="AQ506" s="10"/>
      <c r="AR506" s="10"/>
      <c r="AS506" s="10"/>
      <c r="AT506" s="10"/>
      <c r="AU506" s="10"/>
      <c r="AV506" s="10"/>
      <c r="AW506" s="10"/>
      <c r="AX506" s="10"/>
      <c r="AY506" s="10"/>
      <c r="AZ506" s="10"/>
      <c r="BA506" s="10"/>
      <c r="BB506" s="10"/>
    </row>
    <row r="507" spans="28:54" s="12" customFormat="1" x14ac:dyDescent="0.25">
      <c r="AB507" s="10"/>
      <c r="AC507" s="10"/>
      <c r="AD507" s="10"/>
      <c r="AE507" s="10"/>
      <c r="AF507" s="10"/>
      <c r="AG507" s="10"/>
      <c r="AH507" s="10"/>
      <c r="AI507" s="10"/>
      <c r="AJ507" s="10"/>
      <c r="AK507" s="10"/>
      <c r="AL507" s="10"/>
      <c r="AM507" s="10"/>
      <c r="AN507" s="10"/>
      <c r="AO507" s="10"/>
      <c r="AP507" s="10"/>
      <c r="AQ507" s="10"/>
      <c r="AR507" s="10"/>
      <c r="AS507" s="10"/>
      <c r="AT507" s="10"/>
      <c r="AU507" s="10"/>
      <c r="AV507" s="10"/>
      <c r="AW507" s="10"/>
      <c r="AX507" s="10"/>
      <c r="AY507" s="10"/>
      <c r="AZ507" s="10"/>
      <c r="BA507" s="10"/>
      <c r="BB507" s="10"/>
    </row>
    <row r="508" spans="28:54" s="12" customFormat="1" x14ac:dyDescent="0.25">
      <c r="AB508" s="10"/>
      <c r="AC508" s="10"/>
      <c r="AD508" s="10"/>
      <c r="AE508" s="10"/>
      <c r="AF508" s="10"/>
      <c r="AG508" s="10"/>
      <c r="AH508" s="10"/>
      <c r="AI508" s="10"/>
      <c r="AJ508" s="10"/>
      <c r="AK508" s="10"/>
      <c r="AL508" s="10"/>
      <c r="AM508" s="10"/>
      <c r="AN508" s="10"/>
      <c r="AO508" s="10"/>
      <c r="AP508" s="10"/>
      <c r="AQ508" s="10"/>
      <c r="AR508" s="10"/>
      <c r="AS508" s="10"/>
      <c r="AT508" s="10"/>
      <c r="AU508" s="10"/>
      <c r="AV508" s="10"/>
      <c r="AW508" s="10"/>
      <c r="AX508" s="10"/>
      <c r="AY508" s="10"/>
      <c r="AZ508" s="10"/>
      <c r="BA508" s="10"/>
      <c r="BB508" s="10"/>
    </row>
    <row r="509" spans="28:54" s="12" customFormat="1" x14ac:dyDescent="0.25">
      <c r="AB509" s="10"/>
      <c r="AC509" s="10"/>
      <c r="AD509" s="10"/>
      <c r="AE509" s="10"/>
      <c r="AF509" s="10"/>
      <c r="AG509" s="10"/>
      <c r="AH509" s="10"/>
      <c r="AI509" s="10"/>
      <c r="AJ509" s="10"/>
      <c r="AK509" s="10"/>
      <c r="AL509" s="10"/>
      <c r="AM509" s="10"/>
      <c r="AN509" s="10"/>
      <c r="AO509" s="10"/>
      <c r="AP509" s="10"/>
      <c r="AQ509" s="10"/>
      <c r="AR509" s="10"/>
      <c r="AS509" s="10"/>
      <c r="AT509" s="10"/>
      <c r="AU509" s="10"/>
      <c r="AV509" s="10"/>
      <c r="AW509" s="10"/>
      <c r="AX509" s="10"/>
      <c r="AY509" s="10"/>
      <c r="AZ509" s="10"/>
      <c r="BA509" s="10"/>
      <c r="BB509" s="10"/>
    </row>
    <row r="510" spans="28:54" s="12" customFormat="1" x14ac:dyDescent="0.25">
      <c r="AB510" s="10"/>
      <c r="AC510" s="10"/>
      <c r="AD510" s="10"/>
      <c r="AE510" s="10"/>
      <c r="AF510" s="10"/>
      <c r="AG510" s="10"/>
      <c r="AH510" s="10"/>
      <c r="AI510" s="10"/>
      <c r="AJ510" s="10"/>
      <c r="AK510" s="10"/>
      <c r="AL510" s="10"/>
      <c r="AM510" s="10"/>
      <c r="AN510" s="10"/>
      <c r="AO510" s="10"/>
      <c r="AP510" s="10"/>
      <c r="AQ510" s="10"/>
      <c r="AR510" s="10"/>
      <c r="AS510" s="10"/>
      <c r="AT510" s="10"/>
      <c r="AU510" s="10"/>
      <c r="AV510" s="10"/>
      <c r="AW510" s="10"/>
      <c r="AX510" s="10"/>
      <c r="AY510" s="10"/>
      <c r="AZ510" s="10"/>
      <c r="BA510" s="10"/>
      <c r="BB510" s="10"/>
    </row>
    <row r="511" spans="28:54" s="12" customFormat="1" x14ac:dyDescent="0.25">
      <c r="AB511" s="10"/>
      <c r="AC511" s="10"/>
      <c r="AD511" s="10"/>
      <c r="AE511" s="10"/>
      <c r="AF511" s="10"/>
      <c r="AG511" s="10"/>
      <c r="AH511" s="10"/>
      <c r="AI511" s="10"/>
      <c r="AJ511" s="10"/>
      <c r="AK511" s="10"/>
      <c r="AL511" s="10"/>
      <c r="AM511" s="10"/>
      <c r="AN511" s="10"/>
      <c r="AO511" s="10"/>
      <c r="AP511" s="10"/>
      <c r="AQ511" s="10"/>
      <c r="AR511" s="10"/>
      <c r="AS511" s="10"/>
      <c r="AT511" s="10"/>
      <c r="AU511" s="10"/>
      <c r="AV511" s="10"/>
      <c r="AW511" s="10"/>
      <c r="AX511" s="10"/>
      <c r="AY511" s="10"/>
      <c r="AZ511" s="10"/>
      <c r="BA511" s="10"/>
      <c r="BB511" s="10"/>
    </row>
    <row r="512" spans="28:54" s="12" customFormat="1" x14ac:dyDescent="0.25">
      <c r="AB512" s="10"/>
      <c r="AC512" s="10"/>
      <c r="AD512" s="10"/>
      <c r="AE512" s="10"/>
      <c r="AF512" s="10"/>
      <c r="AG512" s="10"/>
      <c r="AH512" s="10"/>
      <c r="AI512" s="10"/>
      <c r="AJ512" s="10"/>
      <c r="AK512" s="10"/>
      <c r="AL512" s="10"/>
      <c r="AM512" s="10"/>
      <c r="AN512" s="10"/>
      <c r="AO512" s="10"/>
      <c r="AP512" s="10"/>
      <c r="AQ512" s="10"/>
      <c r="AR512" s="10"/>
      <c r="AS512" s="10"/>
      <c r="AT512" s="10"/>
      <c r="AU512" s="10"/>
      <c r="AV512" s="10"/>
      <c r="AW512" s="10"/>
      <c r="AX512" s="10"/>
      <c r="AY512" s="10"/>
      <c r="AZ512" s="10"/>
      <c r="BA512" s="10"/>
      <c r="BB512" s="10"/>
    </row>
    <row r="513" spans="28:54" s="12" customFormat="1" x14ac:dyDescent="0.25">
      <c r="AB513" s="10"/>
      <c r="AC513" s="10"/>
      <c r="AD513" s="10"/>
      <c r="AE513" s="10"/>
      <c r="AF513" s="10"/>
      <c r="AG513" s="10"/>
      <c r="AH513" s="10"/>
      <c r="AI513" s="10"/>
      <c r="AJ513" s="10"/>
      <c r="AK513" s="10"/>
      <c r="AL513" s="10"/>
      <c r="AM513" s="10"/>
      <c r="AN513" s="10"/>
      <c r="AO513" s="10"/>
      <c r="AP513" s="10"/>
      <c r="AQ513" s="10"/>
      <c r="AR513" s="10"/>
      <c r="AS513" s="10"/>
      <c r="AT513" s="10"/>
      <c r="AU513" s="10"/>
      <c r="AV513" s="10"/>
      <c r="AW513" s="10"/>
      <c r="AX513" s="10"/>
      <c r="AY513" s="10"/>
      <c r="AZ513" s="10"/>
      <c r="BA513" s="10"/>
      <c r="BB513" s="10"/>
    </row>
    <row r="514" spans="28:54" s="12" customFormat="1" x14ac:dyDescent="0.25">
      <c r="AB514" s="10"/>
      <c r="AC514" s="10"/>
      <c r="AD514" s="10"/>
      <c r="AE514" s="10"/>
      <c r="AF514" s="10"/>
      <c r="AG514" s="10"/>
      <c r="AH514" s="10"/>
      <c r="AI514" s="10"/>
      <c r="AJ514" s="10"/>
      <c r="AK514" s="10"/>
      <c r="AL514" s="10"/>
      <c r="AM514" s="10"/>
      <c r="AN514" s="10"/>
      <c r="AO514" s="10"/>
      <c r="AP514" s="10"/>
      <c r="AQ514" s="10"/>
      <c r="AR514" s="10"/>
      <c r="AS514" s="10"/>
      <c r="AT514" s="10"/>
      <c r="AU514" s="10"/>
      <c r="AV514" s="10"/>
      <c r="AW514" s="10"/>
      <c r="AX514" s="10"/>
      <c r="AY514" s="10"/>
      <c r="AZ514" s="10"/>
      <c r="BA514" s="10"/>
      <c r="BB514" s="10"/>
    </row>
    <row r="515" spans="28:54" s="12" customFormat="1" x14ac:dyDescent="0.25">
      <c r="AB515" s="10"/>
      <c r="AC515" s="10"/>
      <c r="AD515" s="10"/>
      <c r="AE515" s="10"/>
      <c r="AF515" s="10"/>
      <c r="AG515" s="10"/>
      <c r="AH515" s="10"/>
      <c r="AI515" s="10"/>
      <c r="AJ515" s="10"/>
      <c r="AK515" s="10"/>
      <c r="AL515" s="10"/>
      <c r="AM515" s="10"/>
      <c r="AN515" s="10"/>
      <c r="AO515" s="10"/>
      <c r="AP515" s="10"/>
      <c r="AQ515" s="10"/>
      <c r="AR515" s="10"/>
      <c r="AS515" s="10"/>
      <c r="AT515" s="10"/>
      <c r="AU515" s="10"/>
      <c r="AV515" s="10"/>
      <c r="AW515" s="10"/>
      <c r="AX515" s="10"/>
      <c r="AY515" s="10"/>
      <c r="AZ515" s="10"/>
      <c r="BA515" s="10"/>
      <c r="BB515" s="10"/>
    </row>
    <row r="516" spans="28:54" s="12" customFormat="1" x14ac:dyDescent="0.25">
      <c r="AB516" s="10"/>
      <c r="AC516" s="10"/>
      <c r="AD516" s="10"/>
      <c r="AE516" s="10"/>
      <c r="AF516" s="10"/>
      <c r="AG516" s="10"/>
      <c r="AH516" s="10"/>
      <c r="AI516" s="10"/>
      <c r="AJ516" s="10"/>
      <c r="AK516" s="10"/>
      <c r="AL516" s="10"/>
      <c r="AM516" s="10"/>
      <c r="AN516" s="10"/>
      <c r="AO516" s="10"/>
      <c r="AP516" s="10"/>
      <c r="AQ516" s="10"/>
      <c r="AR516" s="10"/>
      <c r="AS516" s="10"/>
      <c r="AT516" s="10"/>
      <c r="AU516" s="10"/>
      <c r="AV516" s="10"/>
      <c r="AW516" s="10"/>
      <c r="AX516" s="10"/>
      <c r="AY516" s="10"/>
      <c r="AZ516" s="10"/>
      <c r="BA516" s="10"/>
      <c r="BB516" s="10"/>
    </row>
    <row r="517" spans="28:54" s="12" customFormat="1" x14ac:dyDescent="0.25">
      <c r="AB517" s="10"/>
      <c r="AC517" s="10"/>
      <c r="AD517" s="10"/>
      <c r="AE517" s="10"/>
      <c r="AF517" s="10"/>
      <c r="AG517" s="10"/>
      <c r="AH517" s="10"/>
      <c r="AI517" s="10"/>
      <c r="AJ517" s="10"/>
      <c r="AK517" s="10"/>
      <c r="AL517" s="10"/>
      <c r="AM517" s="10"/>
      <c r="AN517" s="10"/>
      <c r="AO517" s="10"/>
      <c r="AP517" s="10"/>
      <c r="AQ517" s="10"/>
      <c r="AR517" s="10"/>
      <c r="AS517" s="10"/>
      <c r="AT517" s="10"/>
      <c r="AU517" s="10"/>
      <c r="AV517" s="10"/>
      <c r="AW517" s="10"/>
      <c r="AX517" s="10"/>
      <c r="AY517" s="10"/>
      <c r="AZ517" s="10"/>
      <c r="BA517" s="10"/>
      <c r="BB517" s="10"/>
    </row>
    <row r="518" spans="28:54" s="12" customFormat="1" x14ac:dyDescent="0.25">
      <c r="AB518" s="10"/>
      <c r="AC518" s="10"/>
      <c r="AD518" s="10"/>
      <c r="AE518" s="10"/>
      <c r="AF518" s="10"/>
      <c r="AG518" s="10"/>
      <c r="AH518" s="10"/>
      <c r="AI518" s="10"/>
      <c r="AJ518" s="10"/>
      <c r="AK518" s="10"/>
      <c r="AL518" s="10"/>
      <c r="AM518" s="10"/>
      <c r="AN518" s="10"/>
      <c r="AO518" s="10"/>
      <c r="AP518" s="10"/>
      <c r="AQ518" s="10"/>
      <c r="AR518" s="10"/>
      <c r="AS518" s="10"/>
      <c r="AT518" s="10"/>
      <c r="AU518" s="10"/>
      <c r="AV518" s="10"/>
      <c r="AW518" s="10"/>
      <c r="AX518" s="10"/>
      <c r="AY518" s="10"/>
      <c r="AZ518" s="10"/>
      <c r="BA518" s="10"/>
      <c r="BB518" s="10"/>
    </row>
    <row r="519" spans="28:54" s="12" customFormat="1" x14ac:dyDescent="0.25">
      <c r="AB519" s="10"/>
      <c r="AC519" s="10"/>
      <c r="AD519" s="10"/>
      <c r="AE519" s="10"/>
      <c r="AF519" s="10"/>
      <c r="AG519" s="10"/>
      <c r="AH519" s="10"/>
      <c r="AI519" s="10"/>
      <c r="AJ519" s="10"/>
      <c r="AK519" s="10"/>
      <c r="AL519" s="10"/>
      <c r="AM519" s="10"/>
      <c r="AN519" s="10"/>
      <c r="AO519" s="10"/>
      <c r="AP519" s="10"/>
      <c r="AQ519" s="10"/>
      <c r="AR519" s="10"/>
      <c r="AS519" s="10"/>
      <c r="AT519" s="10"/>
      <c r="AU519" s="10"/>
      <c r="AV519" s="10"/>
      <c r="AW519" s="10"/>
      <c r="AX519" s="10"/>
      <c r="AY519" s="10"/>
      <c r="AZ519" s="10"/>
      <c r="BA519" s="10"/>
      <c r="BB519" s="10"/>
    </row>
    <row r="520" spans="28:54" s="12" customFormat="1" x14ac:dyDescent="0.25">
      <c r="AB520" s="10"/>
      <c r="AC520" s="10"/>
      <c r="AD520" s="10"/>
      <c r="AE520" s="10"/>
      <c r="AF520" s="10"/>
      <c r="AG520" s="10"/>
      <c r="AH520" s="10"/>
      <c r="AI520" s="10"/>
      <c r="AJ520" s="10"/>
      <c r="AK520" s="10"/>
      <c r="AL520" s="10"/>
      <c r="AM520" s="10"/>
      <c r="AN520" s="10"/>
      <c r="AO520" s="10"/>
      <c r="AP520" s="10"/>
      <c r="AQ520" s="10"/>
      <c r="AR520" s="10"/>
      <c r="AS520" s="10"/>
      <c r="AT520" s="10"/>
      <c r="AU520" s="10"/>
      <c r="AV520" s="10"/>
      <c r="AW520" s="10"/>
      <c r="AX520" s="10"/>
      <c r="AY520" s="10"/>
      <c r="AZ520" s="10"/>
      <c r="BA520" s="10"/>
      <c r="BB520" s="10"/>
    </row>
    <row r="521" spans="28:54" s="12" customFormat="1" x14ac:dyDescent="0.25">
      <c r="AB521" s="10"/>
      <c r="AC521" s="10"/>
      <c r="AD521" s="10"/>
      <c r="AE521" s="10"/>
      <c r="AF521" s="10"/>
      <c r="AG521" s="10"/>
      <c r="AH521" s="10"/>
      <c r="AI521" s="10"/>
      <c r="AJ521" s="10"/>
      <c r="AK521" s="10"/>
      <c r="AL521" s="10"/>
      <c r="AM521" s="10"/>
      <c r="AN521" s="10"/>
      <c r="AO521" s="10"/>
      <c r="AP521" s="10"/>
      <c r="AQ521" s="10"/>
      <c r="AR521" s="10"/>
      <c r="AS521" s="10"/>
      <c r="AT521" s="10"/>
      <c r="AU521" s="10"/>
      <c r="AV521" s="10"/>
      <c r="AW521" s="10"/>
      <c r="AX521" s="10"/>
      <c r="AY521" s="10"/>
      <c r="AZ521" s="10"/>
      <c r="BA521" s="10"/>
      <c r="BB521" s="10"/>
    </row>
    <row r="522" spans="28:54" s="12" customFormat="1" x14ac:dyDescent="0.25">
      <c r="AB522" s="10"/>
      <c r="AC522" s="10"/>
      <c r="AD522" s="10"/>
      <c r="AE522" s="10"/>
      <c r="AF522" s="10"/>
      <c r="AG522" s="10"/>
      <c r="AH522" s="10"/>
      <c r="AI522" s="10"/>
      <c r="AJ522" s="10"/>
      <c r="AK522" s="10"/>
      <c r="AL522" s="10"/>
      <c r="AM522" s="10"/>
      <c r="AN522" s="10"/>
      <c r="AO522" s="10"/>
      <c r="AP522" s="10"/>
      <c r="AQ522" s="10"/>
      <c r="AR522" s="10"/>
      <c r="AS522" s="10"/>
      <c r="AT522" s="10"/>
      <c r="AU522" s="10"/>
      <c r="AV522" s="10"/>
      <c r="AW522" s="10"/>
      <c r="AX522" s="10"/>
      <c r="AY522" s="10"/>
      <c r="AZ522" s="10"/>
      <c r="BA522" s="10"/>
      <c r="BB522" s="10"/>
    </row>
    <row r="523" spans="28:54" s="12" customFormat="1" x14ac:dyDescent="0.25">
      <c r="AB523" s="10"/>
      <c r="AC523" s="10"/>
      <c r="AD523" s="10"/>
      <c r="AE523" s="10"/>
      <c r="AF523" s="10"/>
      <c r="AG523" s="10"/>
      <c r="AH523" s="10"/>
      <c r="AI523" s="10"/>
      <c r="AJ523" s="10"/>
      <c r="AK523" s="10"/>
      <c r="AL523" s="10"/>
      <c r="AM523" s="10"/>
      <c r="AN523" s="10"/>
      <c r="AO523" s="10"/>
      <c r="AP523" s="10"/>
      <c r="AQ523" s="10"/>
      <c r="AR523" s="10"/>
      <c r="AS523" s="10"/>
      <c r="AT523" s="10"/>
      <c r="AU523" s="10"/>
      <c r="AV523" s="10"/>
      <c r="AW523" s="10"/>
      <c r="AX523" s="10"/>
      <c r="AY523" s="10"/>
      <c r="AZ523" s="10"/>
      <c r="BA523" s="10"/>
      <c r="BB523" s="10"/>
    </row>
    <row r="524" spans="28:54" s="12" customFormat="1" x14ac:dyDescent="0.25">
      <c r="AB524" s="10"/>
      <c r="AC524" s="10"/>
      <c r="AD524" s="10"/>
      <c r="AE524" s="10"/>
      <c r="AF524" s="10"/>
      <c r="AG524" s="10"/>
      <c r="AH524" s="10"/>
      <c r="AI524" s="10"/>
      <c r="AJ524" s="10"/>
      <c r="AK524" s="10"/>
      <c r="AL524" s="10"/>
      <c r="AM524" s="10"/>
      <c r="AN524" s="10"/>
      <c r="AO524" s="10"/>
      <c r="AP524" s="10"/>
      <c r="AQ524" s="10"/>
      <c r="AR524" s="10"/>
      <c r="AS524" s="10"/>
      <c r="AT524" s="10"/>
      <c r="AU524" s="10"/>
      <c r="AV524" s="10"/>
      <c r="AW524" s="10"/>
      <c r="AX524" s="10"/>
      <c r="AY524" s="10"/>
      <c r="AZ524" s="10"/>
      <c r="BA524" s="10"/>
      <c r="BB524" s="10"/>
    </row>
    <row r="525" spans="28:54" s="12" customFormat="1" x14ac:dyDescent="0.25">
      <c r="AB525" s="10"/>
      <c r="AC525" s="10"/>
      <c r="AD525" s="10"/>
      <c r="AE525" s="10"/>
      <c r="AF525" s="10"/>
      <c r="AG525" s="10"/>
      <c r="AH525" s="10"/>
      <c r="AI525" s="10"/>
      <c r="AJ525" s="10"/>
      <c r="AK525" s="10"/>
      <c r="AL525" s="10"/>
      <c r="AM525" s="10"/>
      <c r="AN525" s="10"/>
      <c r="AO525" s="10"/>
      <c r="AP525" s="10"/>
      <c r="AQ525" s="10"/>
      <c r="AR525" s="10"/>
      <c r="AS525" s="10"/>
      <c r="AT525" s="10"/>
      <c r="AU525" s="10"/>
      <c r="AV525" s="10"/>
      <c r="AW525" s="10"/>
      <c r="AX525" s="10"/>
      <c r="AY525" s="10"/>
      <c r="AZ525" s="10"/>
      <c r="BA525" s="10"/>
      <c r="BB525" s="10"/>
    </row>
    <row r="526" spans="28:54" s="12" customFormat="1" x14ac:dyDescent="0.25">
      <c r="AB526" s="10"/>
      <c r="AC526" s="10"/>
      <c r="AD526" s="10"/>
      <c r="AE526" s="10"/>
      <c r="AF526" s="10"/>
      <c r="AG526" s="10"/>
      <c r="AH526" s="10"/>
      <c r="AI526" s="10"/>
      <c r="AJ526" s="10"/>
      <c r="AK526" s="10"/>
      <c r="AL526" s="10"/>
      <c r="AM526" s="10"/>
      <c r="AN526" s="10"/>
      <c r="AO526" s="10"/>
      <c r="AP526" s="10"/>
      <c r="AQ526" s="10"/>
      <c r="AR526" s="10"/>
      <c r="AS526" s="10"/>
      <c r="AT526" s="10"/>
      <c r="AU526" s="10"/>
      <c r="AV526" s="10"/>
      <c r="AW526" s="10"/>
      <c r="AX526" s="10"/>
      <c r="AY526" s="10"/>
      <c r="AZ526" s="10"/>
      <c r="BA526" s="10"/>
      <c r="BB526" s="10"/>
    </row>
    <row r="527" spans="28:54" s="12" customFormat="1" x14ac:dyDescent="0.25">
      <c r="AB527" s="10"/>
      <c r="AC527" s="10"/>
      <c r="AD527" s="10"/>
      <c r="AE527" s="10"/>
      <c r="AF527" s="10"/>
      <c r="AG527" s="10"/>
      <c r="AH527" s="10"/>
      <c r="AI527" s="10"/>
      <c r="AJ527" s="10"/>
      <c r="AK527" s="10"/>
      <c r="AL527" s="10"/>
      <c r="AM527" s="10"/>
      <c r="AN527" s="10"/>
      <c r="AO527" s="10"/>
      <c r="AP527" s="10"/>
      <c r="AQ527" s="10"/>
      <c r="AR527" s="10"/>
      <c r="AS527" s="10"/>
      <c r="AT527" s="10"/>
      <c r="AU527" s="10"/>
      <c r="AV527" s="10"/>
      <c r="AW527" s="10"/>
      <c r="AX527" s="10"/>
      <c r="AY527" s="10"/>
      <c r="AZ527" s="10"/>
      <c r="BA527" s="10"/>
      <c r="BB527" s="10"/>
    </row>
    <row r="528" spans="28:54" s="12" customFormat="1" x14ac:dyDescent="0.25">
      <c r="AB528" s="10"/>
      <c r="AC528" s="10"/>
      <c r="AD528" s="10"/>
      <c r="AE528" s="10"/>
      <c r="AF528" s="10"/>
      <c r="AG528" s="10"/>
      <c r="AH528" s="10"/>
      <c r="AI528" s="10"/>
      <c r="AJ528" s="10"/>
      <c r="AK528" s="10"/>
      <c r="AL528" s="10"/>
      <c r="AM528" s="10"/>
      <c r="AN528" s="10"/>
      <c r="AO528" s="10"/>
      <c r="AP528" s="10"/>
      <c r="AQ528" s="10"/>
      <c r="AR528" s="10"/>
      <c r="AS528" s="10"/>
      <c r="AT528" s="10"/>
      <c r="AU528" s="10"/>
      <c r="AV528" s="10"/>
      <c r="AW528" s="10"/>
      <c r="AX528" s="10"/>
      <c r="AY528" s="10"/>
      <c r="AZ528" s="10"/>
      <c r="BA528" s="10"/>
      <c r="BB528" s="10"/>
    </row>
    <row r="529" spans="28:54" s="12" customFormat="1" x14ac:dyDescent="0.25">
      <c r="AB529" s="10"/>
      <c r="AC529" s="10"/>
      <c r="AD529" s="10"/>
      <c r="AE529" s="10"/>
      <c r="AF529" s="10"/>
      <c r="AG529" s="10"/>
      <c r="AH529" s="10"/>
      <c r="AI529" s="10"/>
      <c r="AJ529" s="10"/>
      <c r="AK529" s="10"/>
      <c r="AL529" s="10"/>
      <c r="AM529" s="10"/>
      <c r="AN529" s="10"/>
      <c r="AO529" s="10"/>
      <c r="AP529" s="10"/>
      <c r="AQ529" s="10"/>
      <c r="AR529" s="10"/>
      <c r="AS529" s="10"/>
      <c r="AT529" s="10"/>
      <c r="AU529" s="10"/>
      <c r="AV529" s="10"/>
      <c r="AW529" s="10"/>
      <c r="AX529" s="10"/>
      <c r="AY529" s="10"/>
      <c r="AZ529" s="10"/>
      <c r="BA529" s="10"/>
      <c r="BB529" s="10"/>
    </row>
    <row r="530" spans="28:54" s="12" customFormat="1" x14ac:dyDescent="0.25">
      <c r="AB530" s="10"/>
      <c r="AC530" s="10"/>
      <c r="AD530" s="10"/>
      <c r="AE530" s="10"/>
      <c r="AF530" s="10"/>
      <c r="AG530" s="10"/>
      <c r="AH530" s="10"/>
      <c r="AI530" s="10"/>
      <c r="AJ530" s="10"/>
      <c r="AK530" s="10"/>
      <c r="AL530" s="10"/>
      <c r="AM530" s="10"/>
      <c r="AN530" s="10"/>
      <c r="AO530" s="10"/>
      <c r="AP530" s="10"/>
      <c r="AQ530" s="10"/>
      <c r="AR530" s="10"/>
      <c r="AS530" s="10"/>
      <c r="AT530" s="10"/>
      <c r="AU530" s="10"/>
      <c r="AV530" s="10"/>
      <c r="AW530" s="10"/>
      <c r="AX530" s="10"/>
      <c r="AY530" s="10"/>
      <c r="AZ530" s="10"/>
      <c r="BA530" s="10"/>
      <c r="BB530" s="10"/>
    </row>
    <row r="531" spans="28:54" s="12" customFormat="1" x14ac:dyDescent="0.25">
      <c r="AB531" s="10"/>
      <c r="AC531" s="10"/>
      <c r="AD531" s="10"/>
      <c r="AE531" s="10"/>
      <c r="AF531" s="10"/>
      <c r="AG531" s="10"/>
      <c r="AH531" s="10"/>
      <c r="AI531" s="10"/>
      <c r="AJ531" s="10"/>
      <c r="AK531" s="10"/>
      <c r="AL531" s="10"/>
      <c r="AM531" s="10"/>
      <c r="AN531" s="10"/>
      <c r="AO531" s="10"/>
      <c r="AP531" s="10"/>
      <c r="AQ531" s="10"/>
      <c r="AR531" s="10"/>
      <c r="AS531" s="10"/>
      <c r="AT531" s="10"/>
      <c r="AU531" s="10"/>
      <c r="AV531" s="10"/>
      <c r="AW531" s="10"/>
      <c r="AX531" s="10"/>
      <c r="AY531" s="10"/>
      <c r="AZ531" s="10"/>
      <c r="BA531" s="10"/>
      <c r="BB531" s="10"/>
    </row>
    <row r="532" spans="28:54" s="12" customFormat="1" x14ac:dyDescent="0.25">
      <c r="AB532" s="10"/>
      <c r="AC532" s="10"/>
      <c r="AD532" s="10"/>
      <c r="AE532" s="10"/>
      <c r="AF532" s="10"/>
      <c r="AG532" s="10"/>
      <c r="AH532" s="10"/>
      <c r="AI532" s="10"/>
      <c r="AJ532" s="10"/>
      <c r="AK532" s="10"/>
      <c r="AL532" s="10"/>
      <c r="AM532" s="10"/>
      <c r="AN532" s="10"/>
      <c r="AO532" s="10"/>
      <c r="AP532" s="10"/>
      <c r="AQ532" s="10"/>
      <c r="AR532" s="10"/>
      <c r="AS532" s="10"/>
      <c r="AT532" s="10"/>
      <c r="AU532" s="10"/>
      <c r="AV532" s="10"/>
      <c r="AW532" s="10"/>
      <c r="AX532" s="10"/>
      <c r="AY532" s="10"/>
      <c r="AZ532" s="10"/>
      <c r="BA532" s="10"/>
      <c r="BB532" s="10"/>
    </row>
    <row r="533" spans="28:54" s="12" customFormat="1" x14ac:dyDescent="0.25">
      <c r="AB533" s="10"/>
      <c r="AC533" s="10"/>
      <c r="AD533" s="10"/>
      <c r="AE533" s="10"/>
      <c r="AF533" s="10"/>
      <c r="AG533" s="10"/>
      <c r="AH533" s="10"/>
      <c r="AI533" s="10"/>
      <c r="AJ533" s="10"/>
      <c r="AK533" s="10"/>
      <c r="AL533" s="10"/>
      <c r="AM533" s="10"/>
      <c r="AN533" s="10"/>
      <c r="AO533" s="10"/>
      <c r="AP533" s="10"/>
      <c r="AQ533" s="10"/>
      <c r="AR533" s="10"/>
      <c r="AS533" s="10"/>
      <c r="AT533" s="10"/>
      <c r="AU533" s="10"/>
      <c r="AV533" s="10"/>
      <c r="AW533" s="10"/>
      <c r="AX533" s="10"/>
      <c r="AY533" s="10"/>
      <c r="AZ533" s="10"/>
      <c r="BA533" s="10"/>
      <c r="BB533" s="10"/>
    </row>
    <row r="534" spans="28:54" s="12" customFormat="1" x14ac:dyDescent="0.25">
      <c r="AB534" s="10"/>
      <c r="AC534" s="10"/>
      <c r="AD534" s="10"/>
      <c r="AE534" s="10"/>
      <c r="AF534" s="10"/>
      <c r="AG534" s="10"/>
      <c r="AH534" s="10"/>
      <c r="AI534" s="10"/>
      <c r="AJ534" s="10"/>
      <c r="AK534" s="10"/>
      <c r="AL534" s="10"/>
      <c r="AM534" s="10"/>
      <c r="AN534" s="10"/>
      <c r="AO534" s="10"/>
      <c r="AP534" s="10"/>
      <c r="AQ534" s="10"/>
      <c r="AR534" s="10"/>
      <c r="AS534" s="10"/>
      <c r="AT534" s="10"/>
      <c r="AU534" s="10"/>
      <c r="AV534" s="10"/>
      <c r="AW534" s="10"/>
      <c r="AX534" s="10"/>
      <c r="AY534" s="10"/>
      <c r="AZ534" s="10"/>
      <c r="BA534" s="10"/>
      <c r="BB534" s="10"/>
    </row>
    <row r="535" spans="28:54" s="12" customFormat="1" x14ac:dyDescent="0.25">
      <c r="AB535" s="10"/>
      <c r="AC535" s="10"/>
      <c r="AD535" s="10"/>
      <c r="AE535" s="10"/>
      <c r="AF535" s="10"/>
      <c r="AG535" s="10"/>
      <c r="AH535" s="10"/>
      <c r="AI535" s="10"/>
      <c r="AJ535" s="10"/>
      <c r="AK535" s="10"/>
      <c r="AL535" s="10"/>
      <c r="AM535" s="10"/>
      <c r="AN535" s="10"/>
      <c r="AO535" s="10"/>
      <c r="AP535" s="10"/>
      <c r="AQ535" s="10"/>
      <c r="AR535" s="10"/>
      <c r="AS535" s="10"/>
      <c r="AT535" s="10"/>
      <c r="AU535" s="10"/>
      <c r="AV535" s="10"/>
      <c r="AW535" s="10"/>
      <c r="AX535" s="10"/>
      <c r="AY535" s="10"/>
      <c r="AZ535" s="10"/>
      <c r="BA535" s="10"/>
      <c r="BB535" s="10"/>
    </row>
    <row r="536" spans="28:54" s="12" customFormat="1" x14ac:dyDescent="0.25">
      <c r="AB536" s="10"/>
      <c r="AC536" s="10"/>
      <c r="AD536" s="10"/>
      <c r="AE536" s="10"/>
      <c r="AF536" s="10"/>
      <c r="AG536" s="10"/>
      <c r="AH536" s="10"/>
      <c r="AI536" s="10"/>
      <c r="AJ536" s="10"/>
      <c r="AK536" s="10"/>
      <c r="AL536" s="10"/>
      <c r="AM536" s="10"/>
      <c r="AN536" s="10"/>
      <c r="AO536" s="10"/>
      <c r="AP536" s="10"/>
      <c r="AQ536" s="10"/>
      <c r="AR536" s="10"/>
      <c r="AS536" s="10"/>
      <c r="AT536" s="10"/>
      <c r="AU536" s="10"/>
      <c r="AV536" s="10"/>
      <c r="AW536" s="10"/>
      <c r="AX536" s="10"/>
      <c r="AY536" s="10"/>
      <c r="AZ536" s="10"/>
      <c r="BA536" s="10"/>
      <c r="BB536" s="10"/>
    </row>
    <row r="537" spans="28:54" s="12" customFormat="1" x14ac:dyDescent="0.25">
      <c r="AB537" s="10"/>
      <c r="AC537" s="10"/>
      <c r="AD537" s="10"/>
      <c r="AE537" s="10"/>
      <c r="AF537" s="10"/>
      <c r="AG537" s="10"/>
      <c r="AH537" s="10"/>
      <c r="AI537" s="10"/>
      <c r="AJ537" s="10"/>
      <c r="AK537" s="10"/>
      <c r="AL537" s="10"/>
      <c r="AM537" s="10"/>
      <c r="AN537" s="10"/>
      <c r="AO537" s="10"/>
      <c r="AP537" s="10"/>
      <c r="AQ537" s="10"/>
      <c r="AR537" s="10"/>
      <c r="AS537" s="10"/>
      <c r="AT537" s="10"/>
      <c r="AU537" s="10"/>
      <c r="AV537" s="10"/>
      <c r="AW537" s="10"/>
      <c r="AX537" s="10"/>
      <c r="AY537" s="10"/>
      <c r="AZ537" s="10"/>
      <c r="BA537" s="10"/>
      <c r="BB537" s="10"/>
    </row>
    <row r="538" spans="28:54" s="12" customFormat="1" x14ac:dyDescent="0.25">
      <c r="AB538" s="10"/>
      <c r="AC538" s="10"/>
      <c r="AD538" s="10"/>
      <c r="AE538" s="10"/>
      <c r="AF538" s="10"/>
      <c r="AG538" s="10"/>
      <c r="AH538" s="10"/>
      <c r="AI538" s="10"/>
      <c r="AJ538" s="10"/>
      <c r="AK538" s="10"/>
      <c r="AL538" s="10"/>
      <c r="AM538" s="10"/>
      <c r="AN538" s="10"/>
      <c r="AO538" s="10"/>
      <c r="AP538" s="10"/>
      <c r="AQ538" s="10"/>
      <c r="AR538" s="10"/>
      <c r="AS538" s="10"/>
      <c r="AT538" s="10"/>
      <c r="AU538" s="10"/>
      <c r="AV538" s="10"/>
      <c r="AW538" s="10"/>
      <c r="AX538" s="10"/>
      <c r="AY538" s="10"/>
      <c r="AZ538" s="10"/>
      <c r="BA538" s="10"/>
      <c r="BB538" s="10"/>
    </row>
    <row r="539" spans="28:54" s="12" customFormat="1" x14ac:dyDescent="0.25">
      <c r="AB539" s="10"/>
      <c r="AC539" s="10"/>
      <c r="AD539" s="10"/>
      <c r="AE539" s="10"/>
      <c r="AF539" s="10"/>
      <c r="AG539" s="10"/>
      <c r="AH539" s="10"/>
      <c r="AI539" s="10"/>
      <c r="AJ539" s="10"/>
      <c r="AK539" s="10"/>
      <c r="AL539" s="10"/>
      <c r="AM539" s="10"/>
      <c r="AN539" s="10"/>
      <c r="AO539" s="10"/>
      <c r="AP539" s="10"/>
      <c r="AQ539" s="10"/>
      <c r="AR539" s="10"/>
      <c r="AS539" s="10"/>
      <c r="AT539" s="10"/>
      <c r="AU539" s="10"/>
      <c r="AV539" s="10"/>
      <c r="AW539" s="10"/>
      <c r="AX539" s="10"/>
      <c r="AY539" s="10"/>
      <c r="AZ539" s="10"/>
      <c r="BA539" s="10"/>
      <c r="BB539" s="10"/>
    </row>
    <row r="540" spans="28:54" s="12" customFormat="1" x14ac:dyDescent="0.25">
      <c r="AB540" s="10"/>
      <c r="AC540" s="10"/>
      <c r="AD540" s="10"/>
      <c r="AE540" s="10"/>
      <c r="AF540" s="10"/>
      <c r="AG540" s="10"/>
      <c r="AH540" s="10"/>
      <c r="AI540" s="10"/>
      <c r="AJ540" s="10"/>
      <c r="AK540" s="10"/>
      <c r="AL540" s="10"/>
      <c r="AM540" s="10"/>
      <c r="AN540" s="10"/>
      <c r="AO540" s="10"/>
      <c r="AP540" s="10"/>
      <c r="AQ540" s="10"/>
      <c r="AR540" s="10"/>
      <c r="AS540" s="10"/>
      <c r="AT540" s="10"/>
      <c r="AU540" s="10"/>
      <c r="AV540" s="10"/>
      <c r="AW540" s="10"/>
      <c r="AX540" s="10"/>
      <c r="AY540" s="10"/>
      <c r="AZ540" s="10"/>
      <c r="BA540" s="10"/>
      <c r="BB540" s="10"/>
    </row>
    <row r="541" spans="28:54" s="12" customFormat="1" x14ac:dyDescent="0.25">
      <c r="AB541" s="10"/>
      <c r="AC541" s="10"/>
      <c r="AD541" s="10"/>
      <c r="AE541" s="10"/>
      <c r="AF541" s="10"/>
      <c r="AG541" s="10"/>
      <c r="AH541" s="10"/>
      <c r="AI541" s="10"/>
      <c r="AJ541" s="10"/>
      <c r="AK541" s="10"/>
      <c r="AL541" s="10"/>
      <c r="AM541" s="10"/>
      <c r="AN541" s="10"/>
      <c r="AO541" s="10"/>
      <c r="AP541" s="10"/>
      <c r="AQ541" s="10"/>
      <c r="AR541" s="10"/>
      <c r="AS541" s="10"/>
      <c r="AT541" s="10"/>
      <c r="AU541" s="10"/>
      <c r="AV541" s="10"/>
      <c r="AW541" s="10"/>
      <c r="AX541" s="10"/>
      <c r="AY541" s="10"/>
      <c r="AZ541" s="10"/>
      <c r="BA541" s="10"/>
      <c r="BB541" s="10"/>
    </row>
    <row r="542" spans="28:54" s="12" customFormat="1" x14ac:dyDescent="0.25">
      <c r="AB542" s="10"/>
      <c r="AC542" s="10"/>
      <c r="AD542" s="10"/>
      <c r="AE542" s="10"/>
      <c r="AF542" s="10"/>
      <c r="AG542" s="10"/>
      <c r="AH542" s="10"/>
      <c r="AI542" s="10"/>
      <c r="AJ542" s="10"/>
      <c r="AK542" s="10"/>
      <c r="AL542" s="10"/>
      <c r="AM542" s="10"/>
      <c r="AN542" s="10"/>
      <c r="AO542" s="10"/>
      <c r="AP542" s="10"/>
      <c r="AQ542" s="10"/>
      <c r="AR542" s="10"/>
      <c r="AS542" s="10"/>
      <c r="AT542" s="10"/>
      <c r="AU542" s="10"/>
      <c r="AV542" s="10"/>
      <c r="AW542" s="10"/>
      <c r="AX542" s="10"/>
      <c r="AY542" s="10"/>
      <c r="AZ542" s="10"/>
      <c r="BA542" s="10"/>
      <c r="BB542" s="10"/>
    </row>
    <row r="543" spans="28:54" s="12" customFormat="1" x14ac:dyDescent="0.25">
      <c r="AB543" s="10"/>
      <c r="AC543" s="10"/>
      <c r="AD543" s="10"/>
      <c r="AE543" s="10"/>
      <c r="AF543" s="10"/>
      <c r="AG543" s="10"/>
      <c r="AH543" s="10"/>
      <c r="AI543" s="10"/>
      <c r="AJ543" s="10"/>
      <c r="AK543" s="10"/>
      <c r="AL543" s="10"/>
      <c r="AM543" s="10"/>
      <c r="AN543" s="10"/>
      <c r="AO543" s="10"/>
      <c r="AP543" s="10"/>
      <c r="AQ543" s="10"/>
      <c r="AR543" s="10"/>
      <c r="AS543" s="10"/>
      <c r="AT543" s="10"/>
      <c r="AU543" s="10"/>
      <c r="AV543" s="10"/>
      <c r="AW543" s="10"/>
      <c r="AX543" s="10"/>
      <c r="AY543" s="10"/>
      <c r="AZ543" s="10"/>
      <c r="BA543" s="10"/>
      <c r="BB543" s="10"/>
    </row>
    <row r="544" spans="28:54" s="12" customFormat="1" x14ac:dyDescent="0.25">
      <c r="AB544" s="10"/>
      <c r="AC544" s="10"/>
      <c r="AD544" s="10"/>
      <c r="AE544" s="10"/>
      <c r="AF544" s="10"/>
      <c r="AG544" s="10"/>
      <c r="AH544" s="10"/>
      <c r="AI544" s="10"/>
      <c r="AJ544" s="10"/>
      <c r="AK544" s="10"/>
      <c r="AL544" s="10"/>
      <c r="AM544" s="10"/>
      <c r="AN544" s="10"/>
      <c r="AO544" s="10"/>
      <c r="AP544" s="10"/>
      <c r="AQ544" s="10"/>
      <c r="AR544" s="10"/>
      <c r="AS544" s="10"/>
      <c r="AT544" s="10"/>
      <c r="AU544" s="10"/>
      <c r="AV544" s="10"/>
      <c r="AW544" s="10"/>
      <c r="AX544" s="10"/>
      <c r="AY544" s="10"/>
      <c r="AZ544" s="10"/>
      <c r="BA544" s="10"/>
      <c r="BB544" s="10"/>
    </row>
    <row r="545" spans="28:54" s="12" customFormat="1" x14ac:dyDescent="0.25">
      <c r="AB545" s="10"/>
      <c r="AC545" s="10"/>
      <c r="AD545" s="10"/>
      <c r="AE545" s="10"/>
      <c r="AF545" s="10"/>
      <c r="AG545" s="10"/>
      <c r="AH545" s="10"/>
      <c r="AI545" s="10"/>
      <c r="AJ545" s="10"/>
      <c r="AK545" s="10"/>
      <c r="AL545" s="10"/>
      <c r="AM545" s="10"/>
      <c r="AN545" s="10"/>
      <c r="AO545" s="10"/>
      <c r="AP545" s="10"/>
      <c r="AQ545" s="10"/>
      <c r="AR545" s="10"/>
      <c r="AS545" s="10"/>
      <c r="AT545" s="10"/>
      <c r="AU545" s="10"/>
      <c r="AV545" s="10"/>
      <c r="AW545" s="10"/>
      <c r="AX545" s="10"/>
      <c r="AY545" s="10"/>
      <c r="AZ545" s="10"/>
      <c r="BA545" s="10"/>
      <c r="BB545" s="10"/>
    </row>
    <row r="546" spans="28:54" s="12" customFormat="1" x14ac:dyDescent="0.25">
      <c r="AB546" s="10"/>
      <c r="AC546" s="10"/>
      <c r="AD546" s="10"/>
      <c r="AE546" s="10"/>
      <c r="AF546" s="10"/>
      <c r="AG546" s="10"/>
      <c r="AH546" s="10"/>
      <c r="AI546" s="10"/>
      <c r="AJ546" s="10"/>
      <c r="AK546" s="10"/>
      <c r="AL546" s="10"/>
      <c r="AM546" s="10"/>
      <c r="AN546" s="10"/>
      <c r="AO546" s="10"/>
      <c r="AP546" s="10"/>
      <c r="AQ546" s="10"/>
      <c r="AR546" s="10"/>
      <c r="AS546" s="10"/>
      <c r="AT546" s="10"/>
      <c r="AU546" s="10"/>
      <c r="AV546" s="10"/>
      <c r="AW546" s="10"/>
      <c r="AX546" s="10"/>
      <c r="AY546" s="10"/>
      <c r="AZ546" s="10"/>
      <c r="BA546" s="10"/>
      <c r="BB546" s="10"/>
    </row>
    <row r="547" spans="28:54" s="12" customFormat="1" x14ac:dyDescent="0.25">
      <c r="AB547" s="10"/>
      <c r="AC547" s="10"/>
      <c r="AD547" s="10"/>
      <c r="AE547" s="10"/>
      <c r="AF547" s="10"/>
      <c r="AG547" s="10"/>
      <c r="AH547" s="10"/>
      <c r="AI547" s="10"/>
      <c r="AJ547" s="10"/>
      <c r="AK547" s="10"/>
      <c r="AL547" s="10"/>
      <c r="AM547" s="10"/>
      <c r="AN547" s="10"/>
      <c r="AO547" s="10"/>
      <c r="AP547" s="10"/>
      <c r="AQ547" s="10"/>
      <c r="AR547" s="10"/>
      <c r="AS547" s="10"/>
      <c r="AT547" s="10"/>
      <c r="AU547" s="10"/>
      <c r="AV547" s="10"/>
      <c r="AW547" s="10"/>
      <c r="AX547" s="10"/>
      <c r="AY547" s="10"/>
      <c r="AZ547" s="10"/>
      <c r="BA547" s="10"/>
      <c r="BB547" s="10"/>
    </row>
    <row r="548" spans="28:54" s="12" customFormat="1" x14ac:dyDescent="0.25">
      <c r="AB548" s="10"/>
      <c r="AC548" s="10"/>
      <c r="AD548" s="10"/>
      <c r="AE548" s="10"/>
      <c r="AF548" s="10"/>
      <c r="AG548" s="10"/>
      <c r="AH548" s="10"/>
      <c r="AI548" s="10"/>
      <c r="AJ548" s="10"/>
      <c r="AK548" s="10"/>
      <c r="AL548" s="10"/>
      <c r="AM548" s="10"/>
      <c r="AN548" s="10"/>
      <c r="AO548" s="10"/>
      <c r="AP548" s="10"/>
      <c r="AQ548" s="10"/>
      <c r="AR548" s="10"/>
      <c r="AS548" s="10"/>
      <c r="AT548" s="10"/>
      <c r="AU548" s="10"/>
      <c r="AV548" s="10"/>
      <c r="AW548" s="10"/>
      <c r="AX548" s="10"/>
      <c r="AY548" s="10"/>
      <c r="AZ548" s="10"/>
      <c r="BA548" s="10"/>
      <c r="BB548" s="10"/>
    </row>
    <row r="549" spans="28:54" s="12" customFormat="1" x14ac:dyDescent="0.25">
      <c r="AB549" s="10"/>
      <c r="AC549" s="10"/>
      <c r="AD549" s="10"/>
      <c r="AE549" s="10"/>
      <c r="AF549" s="10"/>
      <c r="AG549" s="10"/>
      <c r="AH549" s="10"/>
      <c r="AI549" s="10"/>
      <c r="AJ549" s="10"/>
      <c r="AK549" s="10"/>
      <c r="AL549" s="10"/>
      <c r="AM549" s="10"/>
      <c r="AN549" s="10"/>
      <c r="AO549" s="10"/>
      <c r="AP549" s="10"/>
      <c r="AQ549" s="10"/>
      <c r="AR549" s="10"/>
      <c r="AS549" s="10"/>
      <c r="AT549" s="10"/>
      <c r="AU549" s="10"/>
      <c r="AV549" s="10"/>
      <c r="AW549" s="10"/>
      <c r="AX549" s="10"/>
      <c r="AY549" s="10"/>
      <c r="AZ549" s="10"/>
      <c r="BA549" s="10"/>
      <c r="BB549" s="10"/>
    </row>
    <row r="550" spans="28:54" s="12" customFormat="1" x14ac:dyDescent="0.25">
      <c r="AB550" s="10"/>
      <c r="AC550" s="10"/>
      <c r="AD550" s="10"/>
      <c r="AE550" s="10"/>
      <c r="AF550" s="10"/>
      <c r="AG550" s="10"/>
      <c r="AH550" s="10"/>
      <c r="AI550" s="10"/>
      <c r="AJ550" s="10"/>
      <c r="AK550" s="10"/>
      <c r="AL550" s="10"/>
      <c r="AM550" s="10"/>
      <c r="AN550" s="10"/>
      <c r="AO550" s="10"/>
      <c r="AP550" s="10"/>
      <c r="AQ550" s="10"/>
      <c r="AR550" s="10"/>
      <c r="AS550" s="10"/>
      <c r="AT550" s="10"/>
      <c r="AU550" s="10"/>
      <c r="AV550" s="10"/>
      <c r="AW550" s="10"/>
      <c r="AX550" s="10"/>
      <c r="AY550" s="10"/>
      <c r="AZ550" s="10"/>
      <c r="BA550" s="10"/>
      <c r="BB550" s="10"/>
    </row>
    <row r="551" spans="28:54" s="12" customFormat="1" x14ac:dyDescent="0.25">
      <c r="AB551" s="10"/>
      <c r="AC551" s="10"/>
      <c r="AD551" s="10"/>
      <c r="AE551" s="10"/>
      <c r="AF551" s="10"/>
      <c r="AG551" s="10"/>
      <c r="AH551" s="10"/>
      <c r="AI551" s="10"/>
      <c r="AJ551" s="10"/>
      <c r="AK551" s="10"/>
      <c r="AL551" s="10"/>
      <c r="AM551" s="10"/>
      <c r="AN551" s="10"/>
      <c r="AO551" s="10"/>
      <c r="AP551" s="10"/>
      <c r="AQ551" s="10"/>
      <c r="AR551" s="10"/>
      <c r="AS551" s="10"/>
      <c r="AT551" s="10"/>
      <c r="AU551" s="10"/>
      <c r="AV551" s="10"/>
      <c r="AW551" s="10"/>
      <c r="AX551" s="10"/>
      <c r="AY551" s="10"/>
      <c r="AZ551" s="10"/>
      <c r="BA551" s="10"/>
      <c r="BB551" s="10"/>
    </row>
    <row r="552" spans="28:54" s="12" customFormat="1" x14ac:dyDescent="0.25">
      <c r="AB552" s="10"/>
      <c r="AC552" s="10"/>
      <c r="AD552" s="10"/>
      <c r="AE552" s="10"/>
      <c r="AF552" s="10"/>
      <c r="AG552" s="10"/>
      <c r="AH552" s="10"/>
      <c r="AI552" s="10"/>
      <c r="AJ552" s="10"/>
      <c r="AK552" s="10"/>
      <c r="AL552" s="10"/>
      <c r="AM552" s="10"/>
      <c r="AN552" s="10"/>
      <c r="AO552" s="10"/>
      <c r="AP552" s="10"/>
      <c r="AQ552" s="10"/>
      <c r="AR552" s="10"/>
      <c r="AS552" s="10"/>
      <c r="AT552" s="10"/>
      <c r="AU552" s="10"/>
      <c r="AV552" s="10"/>
      <c r="AW552" s="10"/>
      <c r="AX552" s="10"/>
      <c r="AY552" s="10"/>
      <c r="AZ552" s="10"/>
      <c r="BA552" s="10"/>
      <c r="BB552" s="10"/>
    </row>
    <row r="553" spans="28:54" s="12" customFormat="1" x14ac:dyDescent="0.25">
      <c r="AB553" s="10"/>
      <c r="AC553" s="10"/>
      <c r="AD553" s="10"/>
      <c r="AE553" s="10"/>
      <c r="AF553" s="10"/>
      <c r="AG553" s="10"/>
      <c r="AH553" s="10"/>
      <c r="AI553" s="10"/>
      <c r="AJ553" s="10"/>
      <c r="AK553" s="10"/>
      <c r="AL553" s="10"/>
      <c r="AM553" s="10"/>
      <c r="AN553" s="10"/>
      <c r="AO553" s="10"/>
      <c r="AP553" s="10"/>
      <c r="AQ553" s="10"/>
      <c r="AR553" s="10"/>
      <c r="AS553" s="10"/>
      <c r="AT553" s="10"/>
      <c r="AU553" s="10"/>
      <c r="AV553" s="10"/>
      <c r="AW553" s="10"/>
      <c r="AX553" s="10"/>
      <c r="AY553" s="10"/>
      <c r="AZ553" s="10"/>
      <c r="BA553" s="10"/>
      <c r="BB553" s="10"/>
    </row>
    <row r="554" spans="28:54" s="12" customFormat="1" x14ac:dyDescent="0.25">
      <c r="AB554" s="10"/>
      <c r="AC554" s="10"/>
      <c r="AD554" s="10"/>
      <c r="AE554" s="10"/>
      <c r="AF554" s="10"/>
      <c r="AG554" s="10"/>
      <c r="AH554" s="10"/>
      <c r="AI554" s="10"/>
      <c r="AJ554" s="10"/>
      <c r="AK554" s="10"/>
      <c r="AL554" s="10"/>
      <c r="AM554" s="10"/>
      <c r="AN554" s="10"/>
      <c r="AO554" s="10"/>
      <c r="AP554" s="10"/>
      <c r="AQ554" s="10"/>
      <c r="AR554" s="10"/>
      <c r="AS554" s="10"/>
      <c r="AT554" s="10"/>
      <c r="AU554" s="10"/>
      <c r="AV554" s="10"/>
      <c r="AW554" s="10"/>
      <c r="AX554" s="10"/>
      <c r="AY554" s="10"/>
      <c r="AZ554" s="10"/>
      <c r="BA554" s="10"/>
      <c r="BB554" s="10"/>
    </row>
    <row r="555" spans="28:54" s="12" customFormat="1" x14ac:dyDescent="0.25">
      <c r="AB555" s="10"/>
      <c r="AC555" s="10"/>
      <c r="AD555" s="10"/>
      <c r="AE555" s="10"/>
      <c r="AF555" s="10"/>
      <c r="AG555" s="10"/>
      <c r="AH555" s="10"/>
      <c r="AI555" s="10"/>
      <c r="AJ555" s="10"/>
      <c r="AK555" s="10"/>
      <c r="AL555" s="10"/>
      <c r="AM555" s="10"/>
      <c r="AN555" s="10"/>
      <c r="AO555" s="10"/>
      <c r="AP555" s="10"/>
      <c r="AQ555" s="10"/>
      <c r="AR555" s="10"/>
      <c r="AS555" s="10"/>
      <c r="AT555" s="10"/>
      <c r="AU555" s="10"/>
      <c r="AV555" s="10"/>
      <c r="AW555" s="10"/>
      <c r="AX555" s="10"/>
      <c r="AY555" s="10"/>
      <c r="AZ555" s="10"/>
      <c r="BA555" s="10"/>
      <c r="BB555" s="10"/>
    </row>
    <row r="556" spans="28:54" s="12" customFormat="1" x14ac:dyDescent="0.25">
      <c r="AB556" s="10"/>
      <c r="AC556" s="10"/>
      <c r="AD556" s="10"/>
      <c r="AE556" s="10"/>
      <c r="AF556" s="10"/>
      <c r="AG556" s="10"/>
      <c r="AH556" s="10"/>
      <c r="AI556" s="10"/>
      <c r="AJ556" s="10"/>
      <c r="AK556" s="10"/>
      <c r="AL556" s="10"/>
      <c r="AM556" s="10"/>
      <c r="AN556" s="10"/>
      <c r="AO556" s="10"/>
      <c r="AP556" s="10"/>
      <c r="AQ556" s="10"/>
      <c r="AR556" s="10"/>
      <c r="AS556" s="10"/>
      <c r="AT556" s="10"/>
      <c r="AU556" s="10"/>
      <c r="AV556" s="10"/>
      <c r="AW556" s="10"/>
      <c r="AX556" s="10"/>
      <c r="AY556" s="10"/>
      <c r="AZ556" s="10"/>
      <c r="BA556" s="10"/>
      <c r="BB556" s="10"/>
    </row>
    <row r="557" spans="28:54" s="12" customFormat="1" x14ac:dyDescent="0.25">
      <c r="AB557" s="10"/>
      <c r="AC557" s="10"/>
      <c r="AD557" s="10"/>
      <c r="AE557" s="10"/>
      <c r="AF557" s="10"/>
      <c r="AG557" s="10"/>
      <c r="AH557" s="10"/>
      <c r="AI557" s="10"/>
      <c r="AJ557" s="10"/>
      <c r="AK557" s="10"/>
      <c r="AL557" s="10"/>
      <c r="AM557" s="10"/>
      <c r="AN557" s="10"/>
      <c r="AO557" s="10"/>
      <c r="AP557" s="10"/>
      <c r="AQ557" s="10"/>
      <c r="AR557" s="10"/>
      <c r="AS557" s="10"/>
      <c r="AT557" s="10"/>
      <c r="AU557" s="10"/>
      <c r="AV557" s="10"/>
      <c r="AW557" s="10"/>
      <c r="AX557" s="10"/>
      <c r="AY557" s="10"/>
      <c r="AZ557" s="10"/>
      <c r="BA557" s="10"/>
      <c r="BB557" s="10"/>
    </row>
    <row r="558" spans="28:54" s="12" customFormat="1" x14ac:dyDescent="0.25">
      <c r="AB558" s="10"/>
      <c r="AC558" s="10"/>
      <c r="AD558" s="10"/>
      <c r="AE558" s="10"/>
      <c r="AF558" s="10"/>
      <c r="AG558" s="10"/>
      <c r="AH558" s="10"/>
      <c r="AI558" s="10"/>
      <c r="AJ558" s="10"/>
      <c r="AK558" s="10"/>
      <c r="AL558" s="10"/>
      <c r="AM558" s="10"/>
      <c r="AN558" s="10"/>
      <c r="AO558" s="10"/>
      <c r="AP558" s="10"/>
      <c r="AQ558" s="10"/>
      <c r="AR558" s="10"/>
      <c r="AS558" s="10"/>
      <c r="AT558" s="10"/>
      <c r="AU558" s="10"/>
      <c r="AV558" s="10"/>
      <c r="AW558" s="10"/>
      <c r="AX558" s="10"/>
      <c r="AY558" s="10"/>
      <c r="AZ558" s="10"/>
      <c r="BA558" s="10"/>
      <c r="BB558" s="10"/>
    </row>
    <row r="559" spans="28:54" s="12" customFormat="1" x14ac:dyDescent="0.25">
      <c r="AB559" s="10"/>
      <c r="AC559" s="10"/>
      <c r="AD559" s="10"/>
      <c r="AE559" s="10"/>
      <c r="AF559" s="10"/>
      <c r="AG559" s="10"/>
      <c r="AH559" s="10"/>
      <c r="AI559" s="10"/>
      <c r="AJ559" s="10"/>
      <c r="AK559" s="10"/>
      <c r="AL559" s="10"/>
      <c r="AM559" s="10"/>
      <c r="AN559" s="10"/>
      <c r="AO559" s="10"/>
      <c r="AP559" s="10"/>
      <c r="AQ559" s="10"/>
      <c r="AR559" s="10"/>
      <c r="AS559" s="10"/>
      <c r="AT559" s="10"/>
      <c r="AU559" s="10"/>
      <c r="AV559" s="10"/>
      <c r="AW559" s="10"/>
      <c r="AX559" s="10"/>
      <c r="AY559" s="10"/>
      <c r="AZ559" s="10"/>
      <c r="BA559" s="10"/>
      <c r="BB559" s="10"/>
    </row>
    <row r="560" spans="28:54" s="12" customFormat="1" x14ac:dyDescent="0.25">
      <c r="AB560" s="10"/>
      <c r="AC560" s="10"/>
      <c r="AD560" s="10"/>
      <c r="AE560" s="10"/>
      <c r="AF560" s="10"/>
      <c r="AG560" s="10"/>
      <c r="AH560" s="10"/>
      <c r="AI560" s="10"/>
      <c r="AJ560" s="10"/>
      <c r="AK560" s="10"/>
      <c r="AL560" s="10"/>
      <c r="AM560" s="10"/>
      <c r="AN560" s="10"/>
      <c r="AO560" s="10"/>
      <c r="AP560" s="10"/>
      <c r="AQ560" s="10"/>
      <c r="AR560" s="10"/>
      <c r="AS560" s="10"/>
      <c r="AT560" s="10"/>
      <c r="AU560" s="10"/>
      <c r="AV560" s="10"/>
      <c r="AW560" s="10"/>
      <c r="AX560" s="10"/>
      <c r="AY560" s="10"/>
      <c r="AZ560" s="10"/>
      <c r="BA560" s="10"/>
      <c r="BB560" s="10"/>
    </row>
    <row r="561" spans="28:54" s="12" customFormat="1" x14ac:dyDescent="0.25">
      <c r="AB561" s="10"/>
      <c r="AC561" s="10"/>
      <c r="AD561" s="10"/>
      <c r="AE561" s="10"/>
      <c r="AF561" s="10"/>
      <c r="AG561" s="10"/>
      <c r="AH561" s="10"/>
      <c r="AI561" s="10"/>
      <c r="AJ561" s="10"/>
      <c r="AK561" s="10"/>
      <c r="AL561" s="10"/>
      <c r="AM561" s="10"/>
      <c r="AN561" s="10"/>
      <c r="AO561" s="10"/>
      <c r="AP561" s="10"/>
      <c r="AQ561" s="10"/>
      <c r="AR561" s="10"/>
      <c r="AS561" s="10"/>
      <c r="AT561" s="10"/>
      <c r="AU561" s="10"/>
      <c r="AV561" s="10"/>
      <c r="AW561" s="10"/>
      <c r="AX561" s="10"/>
      <c r="AY561" s="10"/>
      <c r="AZ561" s="10"/>
      <c r="BA561" s="10"/>
      <c r="BB561" s="10"/>
    </row>
    <row r="562" spans="28:54" s="12" customFormat="1" x14ac:dyDescent="0.25">
      <c r="AB562" s="10"/>
      <c r="AC562" s="10"/>
      <c r="AD562" s="10"/>
      <c r="AE562" s="10"/>
      <c r="AF562" s="10"/>
      <c r="AG562" s="10"/>
      <c r="AH562" s="10"/>
      <c r="AI562" s="10"/>
      <c r="AJ562" s="10"/>
      <c r="AK562" s="10"/>
      <c r="AL562" s="10"/>
      <c r="AM562" s="10"/>
      <c r="AN562" s="10"/>
      <c r="AO562" s="10"/>
      <c r="AP562" s="10"/>
      <c r="AQ562" s="10"/>
      <c r="AR562" s="10"/>
      <c r="AS562" s="10"/>
      <c r="AT562" s="10"/>
      <c r="AU562" s="10"/>
      <c r="AV562" s="10"/>
      <c r="AW562" s="10"/>
      <c r="AX562" s="10"/>
      <c r="AY562" s="10"/>
      <c r="AZ562" s="10"/>
      <c r="BA562" s="10"/>
      <c r="BB562" s="10"/>
    </row>
    <row r="563" spans="28:54" s="12" customFormat="1" x14ac:dyDescent="0.25">
      <c r="AB563" s="10"/>
      <c r="AC563" s="10"/>
      <c r="AD563" s="10"/>
      <c r="AE563" s="10"/>
      <c r="AF563" s="10"/>
      <c r="AG563" s="10"/>
      <c r="AH563" s="10"/>
      <c r="AI563" s="10"/>
      <c r="AJ563" s="10"/>
      <c r="AK563" s="10"/>
      <c r="AL563" s="10"/>
      <c r="AM563" s="10"/>
      <c r="AN563" s="10"/>
      <c r="AO563" s="10"/>
      <c r="AP563" s="10"/>
      <c r="AQ563" s="10"/>
      <c r="AR563" s="10"/>
      <c r="AS563" s="10"/>
      <c r="AT563" s="10"/>
      <c r="AU563" s="10"/>
      <c r="AV563" s="10"/>
      <c r="AW563" s="10"/>
      <c r="AX563" s="10"/>
      <c r="AY563" s="10"/>
      <c r="AZ563" s="10"/>
      <c r="BA563" s="10"/>
      <c r="BB563" s="10"/>
    </row>
    <row r="564" spans="28:54" s="12" customFormat="1" x14ac:dyDescent="0.25">
      <c r="AB564" s="10"/>
      <c r="AC564" s="10"/>
      <c r="AD564" s="10"/>
      <c r="AE564" s="10"/>
      <c r="AF564" s="10"/>
      <c r="AG564" s="10"/>
      <c r="AH564" s="10"/>
      <c r="AI564" s="10"/>
      <c r="AJ564" s="10"/>
      <c r="AK564" s="10"/>
      <c r="AL564" s="10"/>
      <c r="AM564" s="10"/>
      <c r="AN564" s="10"/>
      <c r="AO564" s="10"/>
      <c r="AP564" s="10"/>
      <c r="AQ564" s="10"/>
      <c r="AR564" s="10"/>
      <c r="AS564" s="10"/>
      <c r="AT564" s="10"/>
      <c r="AU564" s="10"/>
      <c r="AV564" s="10"/>
      <c r="AW564" s="10"/>
      <c r="AX564" s="10"/>
      <c r="AY564" s="10"/>
      <c r="AZ564" s="10"/>
      <c r="BA564" s="10"/>
      <c r="BB564" s="10"/>
    </row>
    <row r="565" spans="28:54" s="12" customFormat="1" x14ac:dyDescent="0.25">
      <c r="AB565" s="10"/>
      <c r="AC565" s="10"/>
      <c r="AD565" s="10"/>
      <c r="AE565" s="10"/>
      <c r="AF565" s="10"/>
      <c r="AG565" s="10"/>
      <c r="AH565" s="10"/>
      <c r="AI565" s="10"/>
      <c r="AJ565" s="10"/>
      <c r="AK565" s="10"/>
      <c r="AL565" s="10"/>
      <c r="AM565" s="10"/>
      <c r="AN565" s="10"/>
      <c r="AO565" s="10"/>
      <c r="AP565" s="10"/>
      <c r="AQ565" s="10"/>
      <c r="AR565" s="10"/>
      <c r="AS565" s="10"/>
      <c r="AT565" s="10"/>
      <c r="AU565" s="10"/>
      <c r="AV565" s="10"/>
      <c r="AW565" s="10"/>
      <c r="AX565" s="10"/>
      <c r="AY565" s="10"/>
      <c r="AZ565" s="10"/>
      <c r="BA565" s="10"/>
      <c r="BB565" s="10"/>
    </row>
    <row r="566" spans="28:54" s="12" customFormat="1" x14ac:dyDescent="0.25">
      <c r="AB566" s="10"/>
      <c r="AC566" s="10"/>
      <c r="AD566" s="10"/>
      <c r="AE566" s="10"/>
      <c r="AF566" s="10"/>
      <c r="AG566" s="10"/>
      <c r="AH566" s="10"/>
      <c r="AI566" s="10"/>
      <c r="AJ566" s="10"/>
      <c r="AK566" s="10"/>
      <c r="AL566" s="10"/>
      <c r="AM566" s="10"/>
      <c r="AN566" s="10"/>
      <c r="AO566" s="10"/>
      <c r="AP566" s="10"/>
      <c r="AQ566" s="10"/>
      <c r="AR566" s="10"/>
      <c r="AS566" s="10"/>
      <c r="AT566" s="10"/>
      <c r="AU566" s="10"/>
      <c r="AV566" s="10"/>
      <c r="AW566" s="10"/>
      <c r="AX566" s="10"/>
      <c r="AY566" s="10"/>
      <c r="AZ566" s="10"/>
      <c r="BA566" s="10"/>
      <c r="BB566" s="10"/>
    </row>
    <row r="567" spans="28:54" s="12" customFormat="1" x14ac:dyDescent="0.25">
      <c r="AB567" s="10"/>
      <c r="AC567" s="10"/>
      <c r="AD567" s="10"/>
      <c r="AE567" s="10"/>
      <c r="AF567" s="10"/>
      <c r="AG567" s="10"/>
      <c r="AH567" s="10"/>
      <c r="AI567" s="10"/>
      <c r="AJ567" s="10"/>
      <c r="AK567" s="10"/>
      <c r="AL567" s="10"/>
      <c r="AM567" s="10"/>
      <c r="AN567" s="10"/>
      <c r="AO567" s="10"/>
      <c r="AP567" s="10"/>
      <c r="AQ567" s="10"/>
      <c r="AR567" s="10"/>
      <c r="AS567" s="10"/>
      <c r="AT567" s="10"/>
      <c r="AU567" s="10"/>
      <c r="AV567" s="10"/>
      <c r="AW567" s="10"/>
      <c r="AX567" s="10"/>
      <c r="AY567" s="10"/>
      <c r="AZ567" s="10"/>
      <c r="BA567" s="10"/>
      <c r="BB567" s="10"/>
    </row>
    <row r="568" spans="28:54" s="12" customFormat="1" x14ac:dyDescent="0.25">
      <c r="AB568" s="10"/>
      <c r="AC568" s="10"/>
      <c r="AD568" s="10"/>
      <c r="AE568" s="10"/>
      <c r="AF568" s="10"/>
      <c r="AG568" s="10"/>
      <c r="AH568" s="10"/>
      <c r="AI568" s="10"/>
      <c r="AJ568" s="10"/>
      <c r="AK568" s="10"/>
      <c r="AL568" s="10"/>
      <c r="AM568" s="10"/>
      <c r="AN568" s="10"/>
      <c r="AO568" s="10"/>
      <c r="AP568" s="10"/>
      <c r="AQ568" s="10"/>
      <c r="AR568" s="10"/>
      <c r="AS568" s="10"/>
      <c r="AT568" s="10"/>
      <c r="AU568" s="10"/>
      <c r="AV568" s="10"/>
      <c r="AW568" s="10"/>
      <c r="AX568" s="10"/>
      <c r="AY568" s="10"/>
      <c r="AZ568" s="10"/>
      <c r="BA568" s="10"/>
      <c r="BB568" s="10"/>
    </row>
    <row r="569" spans="28:54" s="12" customFormat="1" x14ac:dyDescent="0.25">
      <c r="AB569" s="10"/>
      <c r="AC569" s="10"/>
      <c r="AD569" s="10"/>
      <c r="AE569" s="10"/>
      <c r="AF569" s="10"/>
      <c r="AG569" s="10"/>
      <c r="AH569" s="10"/>
      <c r="AI569" s="10"/>
      <c r="AJ569" s="10"/>
      <c r="AK569" s="10"/>
      <c r="AL569" s="10"/>
      <c r="AM569" s="10"/>
      <c r="AN569" s="10"/>
      <c r="AO569" s="10"/>
      <c r="AP569" s="10"/>
      <c r="AQ569" s="10"/>
      <c r="AR569" s="10"/>
      <c r="AS569" s="10"/>
      <c r="AT569" s="10"/>
      <c r="AU569" s="10"/>
      <c r="AV569" s="10"/>
      <c r="AW569" s="10"/>
      <c r="AX569" s="10"/>
      <c r="AY569" s="10"/>
      <c r="AZ569" s="10"/>
      <c r="BA569" s="10"/>
      <c r="BB569" s="10"/>
    </row>
    <row r="570" spans="28:54" s="12" customFormat="1" x14ac:dyDescent="0.25">
      <c r="AB570" s="10"/>
      <c r="AC570" s="10"/>
      <c r="AD570" s="10"/>
      <c r="AE570" s="10"/>
      <c r="AF570" s="10"/>
      <c r="AG570" s="10"/>
      <c r="AH570" s="10"/>
      <c r="AI570" s="10"/>
      <c r="AJ570" s="10"/>
      <c r="AK570" s="10"/>
      <c r="AL570" s="10"/>
      <c r="AM570" s="10"/>
      <c r="AN570" s="10"/>
      <c r="AO570" s="10"/>
      <c r="AP570" s="10"/>
      <c r="AQ570" s="10"/>
      <c r="AR570" s="10"/>
      <c r="AS570" s="10"/>
      <c r="AT570" s="10"/>
      <c r="AU570" s="10"/>
      <c r="AV570" s="10"/>
      <c r="AW570" s="10"/>
      <c r="AX570" s="10"/>
      <c r="AY570" s="10"/>
      <c r="AZ570" s="10"/>
      <c r="BA570" s="10"/>
      <c r="BB570" s="10"/>
    </row>
    <row r="571" spans="28:54" s="12" customFormat="1" x14ac:dyDescent="0.25">
      <c r="AB571" s="10"/>
      <c r="AC571" s="10"/>
      <c r="AD571" s="10"/>
      <c r="AE571" s="10"/>
      <c r="AF571" s="10"/>
      <c r="AG571" s="10"/>
      <c r="AH571" s="10"/>
      <c r="AI571" s="10"/>
      <c r="AJ571" s="10"/>
      <c r="AK571" s="10"/>
      <c r="AL571" s="10"/>
      <c r="AM571" s="10"/>
      <c r="AN571" s="10"/>
      <c r="AO571" s="10"/>
      <c r="AP571" s="10"/>
      <c r="AQ571" s="10"/>
      <c r="AR571" s="10"/>
      <c r="AS571" s="10"/>
      <c r="AT571" s="10"/>
      <c r="AU571" s="10"/>
      <c r="AV571" s="10"/>
      <c r="AW571" s="10"/>
      <c r="AX571" s="10"/>
      <c r="AY571" s="10"/>
      <c r="AZ571" s="10"/>
      <c r="BA571" s="10"/>
      <c r="BB571" s="10"/>
    </row>
    <row r="572" spans="28:54" s="12" customFormat="1" x14ac:dyDescent="0.25">
      <c r="AB572" s="10"/>
      <c r="AC572" s="10"/>
      <c r="AD572" s="10"/>
      <c r="AE572" s="10"/>
      <c r="AF572" s="10"/>
      <c r="AG572" s="10"/>
      <c r="AH572" s="10"/>
      <c r="AI572" s="10"/>
      <c r="AJ572" s="10"/>
      <c r="AK572" s="10"/>
      <c r="AL572" s="10"/>
      <c r="AM572" s="10"/>
      <c r="AN572" s="10"/>
      <c r="AO572" s="10"/>
      <c r="AP572" s="10"/>
      <c r="AQ572" s="10"/>
      <c r="AR572" s="10"/>
      <c r="AS572" s="10"/>
      <c r="AT572" s="10"/>
      <c r="AU572" s="10"/>
      <c r="AV572" s="10"/>
      <c r="AW572" s="10"/>
      <c r="AX572" s="10"/>
      <c r="AY572" s="10"/>
      <c r="AZ572" s="10"/>
      <c r="BA572" s="10"/>
      <c r="BB572" s="10"/>
    </row>
    <row r="573" spans="28:54" s="12" customFormat="1" x14ac:dyDescent="0.25">
      <c r="AB573" s="10"/>
      <c r="AC573" s="10"/>
      <c r="AD573" s="10"/>
      <c r="AE573" s="10"/>
      <c r="AF573" s="10"/>
      <c r="AG573" s="10"/>
      <c r="AH573" s="10"/>
      <c r="AI573" s="10"/>
      <c r="AJ573" s="10"/>
      <c r="AK573" s="10"/>
      <c r="AL573" s="10"/>
      <c r="AM573" s="10"/>
      <c r="AN573" s="10"/>
      <c r="AO573" s="10"/>
      <c r="AP573" s="10"/>
      <c r="AQ573" s="10"/>
      <c r="AR573" s="10"/>
      <c r="AS573" s="10"/>
      <c r="AT573" s="10"/>
      <c r="AU573" s="10"/>
      <c r="AV573" s="10"/>
      <c r="AW573" s="10"/>
      <c r="AX573" s="10"/>
      <c r="AY573" s="10"/>
      <c r="AZ573" s="10"/>
      <c r="BA573" s="10"/>
      <c r="BB573" s="10"/>
    </row>
    <row r="574" spans="28:54" s="12" customFormat="1" x14ac:dyDescent="0.25">
      <c r="AB574" s="10"/>
      <c r="AC574" s="10"/>
      <c r="AD574" s="10"/>
      <c r="AE574" s="10"/>
      <c r="AF574" s="10"/>
      <c r="AG574" s="10"/>
      <c r="AH574" s="10"/>
      <c r="AI574" s="10"/>
      <c r="AJ574" s="10"/>
      <c r="AK574" s="10"/>
      <c r="AL574" s="10"/>
      <c r="AM574" s="10"/>
      <c r="AN574" s="10"/>
      <c r="AO574" s="10"/>
      <c r="AP574" s="10"/>
      <c r="AQ574" s="10"/>
      <c r="AR574" s="10"/>
      <c r="AS574" s="10"/>
      <c r="AT574" s="10"/>
      <c r="AU574" s="10"/>
      <c r="AV574" s="10"/>
      <c r="AW574" s="10"/>
      <c r="AX574" s="10"/>
      <c r="AY574" s="10"/>
      <c r="AZ574" s="10"/>
      <c r="BA574" s="10"/>
      <c r="BB574" s="10"/>
    </row>
    <row r="575" spans="28:54" s="12" customFormat="1" x14ac:dyDescent="0.25">
      <c r="AB575" s="10"/>
      <c r="AC575" s="10"/>
      <c r="AD575" s="10"/>
      <c r="AE575" s="10"/>
      <c r="AF575" s="10"/>
      <c r="AG575" s="10"/>
      <c r="AH575" s="10"/>
      <c r="AI575" s="10"/>
      <c r="AJ575" s="10"/>
      <c r="AK575" s="10"/>
      <c r="AL575" s="10"/>
      <c r="AM575" s="10"/>
      <c r="AN575" s="10"/>
      <c r="AO575" s="10"/>
      <c r="AP575" s="10"/>
      <c r="AQ575" s="10"/>
      <c r="AR575" s="10"/>
      <c r="AS575" s="10"/>
      <c r="AT575" s="10"/>
      <c r="AU575" s="10"/>
      <c r="AV575" s="10"/>
      <c r="AW575" s="10"/>
      <c r="AX575" s="10"/>
      <c r="AY575" s="10"/>
      <c r="AZ575" s="10"/>
      <c r="BA575" s="10"/>
      <c r="BB575" s="10"/>
    </row>
    <row r="576" spans="28:54" s="12" customFormat="1" x14ac:dyDescent="0.25">
      <c r="AB576" s="10"/>
      <c r="AC576" s="10"/>
      <c r="AD576" s="10"/>
      <c r="AE576" s="10"/>
      <c r="AF576" s="10"/>
      <c r="AG576" s="10"/>
      <c r="AH576" s="10"/>
      <c r="AI576" s="10"/>
      <c r="AJ576" s="10"/>
      <c r="AK576" s="10"/>
      <c r="AL576" s="10"/>
      <c r="AM576" s="10"/>
      <c r="AN576" s="10"/>
      <c r="AO576" s="10"/>
      <c r="AP576" s="10"/>
      <c r="AQ576" s="10"/>
      <c r="AR576" s="10"/>
      <c r="AS576" s="10"/>
      <c r="AT576" s="10"/>
      <c r="AU576" s="10"/>
      <c r="AV576" s="10"/>
      <c r="AW576" s="10"/>
      <c r="AX576" s="10"/>
      <c r="AY576" s="10"/>
      <c r="AZ576" s="10"/>
      <c r="BA576" s="10"/>
      <c r="BB576" s="10"/>
    </row>
    <row r="577" spans="28:54" s="12" customFormat="1" x14ac:dyDescent="0.25">
      <c r="AB577" s="10"/>
      <c r="AC577" s="10"/>
      <c r="AD577" s="10"/>
      <c r="AE577" s="10"/>
      <c r="AF577" s="10"/>
      <c r="AG577" s="10"/>
      <c r="AH577" s="10"/>
      <c r="AI577" s="10"/>
      <c r="AJ577" s="10"/>
      <c r="AK577" s="10"/>
      <c r="AL577" s="10"/>
      <c r="AM577" s="10"/>
      <c r="AN577" s="10"/>
      <c r="AO577" s="10"/>
      <c r="AP577" s="10"/>
      <c r="AQ577" s="10"/>
      <c r="AR577" s="10"/>
      <c r="AS577" s="10"/>
      <c r="AT577" s="10"/>
      <c r="AU577" s="10"/>
      <c r="AV577" s="10"/>
      <c r="AW577" s="10"/>
      <c r="AX577" s="10"/>
      <c r="AY577" s="10"/>
      <c r="AZ577" s="10"/>
      <c r="BA577" s="10"/>
      <c r="BB577" s="10"/>
    </row>
    <row r="578" spans="28:54" s="12" customFormat="1" x14ac:dyDescent="0.25">
      <c r="AB578" s="10"/>
      <c r="AC578" s="10"/>
      <c r="AD578" s="10"/>
      <c r="AE578" s="10"/>
      <c r="AF578" s="10"/>
      <c r="AG578" s="10"/>
      <c r="AH578" s="10"/>
      <c r="AI578" s="10"/>
      <c r="AJ578" s="10"/>
      <c r="AK578" s="10"/>
      <c r="AL578" s="10"/>
      <c r="AM578" s="10"/>
      <c r="AN578" s="10"/>
      <c r="AO578" s="10"/>
      <c r="AP578" s="10"/>
      <c r="AQ578" s="10"/>
      <c r="AR578" s="10"/>
      <c r="AS578" s="10"/>
      <c r="AT578" s="10"/>
      <c r="AU578" s="10"/>
      <c r="AV578" s="10"/>
      <c r="AW578" s="10"/>
      <c r="AX578" s="10"/>
      <c r="AY578" s="10"/>
      <c r="AZ578" s="10"/>
      <c r="BA578" s="10"/>
      <c r="BB578" s="10"/>
    </row>
    <row r="579" spans="28:54" s="12" customFormat="1" x14ac:dyDescent="0.25">
      <c r="AB579" s="10"/>
      <c r="AC579" s="10"/>
      <c r="AD579" s="10"/>
      <c r="AE579" s="10"/>
      <c r="AF579" s="10"/>
      <c r="AG579" s="10"/>
      <c r="AH579" s="10"/>
      <c r="AI579" s="10"/>
      <c r="AJ579" s="10"/>
      <c r="AK579" s="10"/>
      <c r="AL579" s="10"/>
      <c r="AM579" s="10"/>
      <c r="AN579" s="10"/>
      <c r="AO579" s="10"/>
      <c r="AP579" s="10"/>
      <c r="AQ579" s="10"/>
      <c r="AR579" s="10"/>
      <c r="AS579" s="10"/>
      <c r="AT579" s="10"/>
      <c r="AU579" s="10"/>
      <c r="AV579" s="10"/>
      <c r="AW579" s="10"/>
      <c r="AX579" s="10"/>
      <c r="AY579" s="10"/>
      <c r="AZ579" s="10"/>
      <c r="BA579" s="10"/>
      <c r="BB579" s="10"/>
    </row>
    <row r="580" spans="28:54" s="12" customFormat="1" x14ac:dyDescent="0.25">
      <c r="AB580" s="10"/>
      <c r="AC580" s="10"/>
      <c r="AD580" s="10"/>
      <c r="AE580" s="10"/>
      <c r="AF580" s="10"/>
      <c r="AG580" s="10"/>
      <c r="AH580" s="10"/>
      <c r="AI580" s="10"/>
      <c r="AJ580" s="10"/>
      <c r="AK580" s="10"/>
      <c r="AL580" s="10"/>
      <c r="AM580" s="10"/>
      <c r="AN580" s="10"/>
      <c r="AO580" s="10"/>
      <c r="AP580" s="10"/>
      <c r="AQ580" s="10"/>
      <c r="AR580" s="10"/>
      <c r="AS580" s="10"/>
      <c r="AT580" s="10"/>
      <c r="AU580" s="10"/>
      <c r="AV580" s="10"/>
      <c r="AW580" s="10"/>
      <c r="AX580" s="10"/>
      <c r="AY580" s="10"/>
      <c r="AZ580" s="10"/>
      <c r="BA580" s="10"/>
      <c r="BB580" s="10"/>
    </row>
    <row r="581" spans="28:54" s="12" customFormat="1" x14ac:dyDescent="0.25">
      <c r="AB581" s="10"/>
      <c r="AC581" s="10"/>
      <c r="AD581" s="10"/>
      <c r="AE581" s="10"/>
      <c r="AF581" s="10"/>
      <c r="AG581" s="10"/>
      <c r="AH581" s="10"/>
      <c r="AI581" s="10"/>
      <c r="AJ581" s="10"/>
      <c r="AK581" s="10"/>
      <c r="AL581" s="10"/>
      <c r="AM581" s="10"/>
      <c r="AN581" s="10"/>
      <c r="AO581" s="10"/>
      <c r="AP581" s="10"/>
      <c r="AQ581" s="10"/>
      <c r="AR581" s="10"/>
      <c r="AS581" s="10"/>
      <c r="AT581" s="10"/>
      <c r="AU581" s="10"/>
      <c r="AV581" s="10"/>
      <c r="AW581" s="10"/>
      <c r="AX581" s="10"/>
      <c r="AY581" s="10"/>
      <c r="AZ581" s="10"/>
      <c r="BA581" s="10"/>
      <c r="BB581" s="10"/>
    </row>
    <row r="582" spans="28:54" s="12" customFormat="1" x14ac:dyDescent="0.25">
      <c r="AB582" s="10"/>
      <c r="AC582" s="10"/>
      <c r="AD582" s="10"/>
      <c r="AE582" s="10"/>
      <c r="AF582" s="10"/>
      <c r="AG582" s="10"/>
      <c r="AH582" s="10"/>
      <c r="AI582" s="10"/>
      <c r="AJ582" s="10"/>
      <c r="AK582" s="10"/>
      <c r="AL582" s="10"/>
      <c r="AM582" s="10"/>
      <c r="AN582" s="10"/>
      <c r="AO582" s="10"/>
      <c r="AP582" s="10"/>
      <c r="AQ582" s="10"/>
      <c r="AR582" s="10"/>
      <c r="AS582" s="10"/>
      <c r="AT582" s="10"/>
      <c r="AU582" s="10"/>
      <c r="AV582" s="10"/>
      <c r="AW582" s="10"/>
      <c r="AX582" s="10"/>
      <c r="AY582" s="10"/>
      <c r="AZ582" s="10"/>
      <c r="BA582" s="10"/>
      <c r="BB582" s="10"/>
    </row>
    <row r="583" spans="28:54" s="12" customFormat="1" x14ac:dyDescent="0.25">
      <c r="AB583" s="10"/>
      <c r="AC583" s="10"/>
      <c r="AD583" s="10"/>
      <c r="AE583" s="10"/>
      <c r="AF583" s="10"/>
      <c r="AG583" s="10"/>
      <c r="AH583" s="10"/>
      <c r="AI583" s="10"/>
      <c r="AJ583" s="10"/>
      <c r="AK583" s="10"/>
      <c r="AL583" s="10"/>
      <c r="AM583" s="10"/>
      <c r="AN583" s="10"/>
      <c r="AO583" s="10"/>
      <c r="AP583" s="10"/>
      <c r="AQ583" s="10"/>
      <c r="AR583" s="10"/>
      <c r="AS583" s="10"/>
      <c r="AT583" s="10"/>
      <c r="AU583" s="10"/>
      <c r="AV583" s="10"/>
      <c r="AW583" s="10"/>
      <c r="AX583" s="10"/>
      <c r="AY583" s="10"/>
      <c r="AZ583" s="10"/>
      <c r="BA583" s="10"/>
      <c r="BB583" s="10"/>
    </row>
    <row r="584" spans="28:54" s="12" customFormat="1" x14ac:dyDescent="0.25">
      <c r="AB584" s="10"/>
      <c r="AC584" s="10"/>
      <c r="AD584" s="10"/>
      <c r="AE584" s="10"/>
      <c r="AF584" s="10"/>
      <c r="AG584" s="10"/>
      <c r="AH584" s="10"/>
      <c r="AI584" s="10"/>
      <c r="AJ584" s="10"/>
      <c r="AK584" s="10"/>
      <c r="AL584" s="10"/>
      <c r="AM584" s="10"/>
      <c r="AN584" s="10"/>
      <c r="AO584" s="10"/>
      <c r="AP584" s="10"/>
      <c r="AQ584" s="10"/>
      <c r="AR584" s="10"/>
      <c r="AS584" s="10"/>
      <c r="AT584" s="10"/>
      <c r="AU584" s="10"/>
      <c r="AV584" s="10"/>
      <c r="AW584" s="10"/>
      <c r="AX584" s="10"/>
      <c r="AY584" s="10"/>
      <c r="AZ584" s="10"/>
      <c r="BA584" s="10"/>
      <c r="BB584" s="10"/>
    </row>
    <row r="585" spans="28:54" s="12" customFormat="1" x14ac:dyDescent="0.25">
      <c r="AB585" s="10"/>
      <c r="AC585" s="10"/>
      <c r="AD585" s="10"/>
      <c r="AE585" s="10"/>
      <c r="AF585" s="10"/>
      <c r="AG585" s="10"/>
      <c r="AH585" s="10"/>
      <c r="AI585" s="10"/>
      <c r="AJ585" s="10"/>
      <c r="AK585" s="10"/>
      <c r="AL585" s="10"/>
      <c r="AM585" s="10"/>
      <c r="AN585" s="10"/>
      <c r="AO585" s="10"/>
      <c r="AP585" s="10"/>
      <c r="AQ585" s="10"/>
      <c r="AR585" s="10"/>
      <c r="AS585" s="10"/>
      <c r="AT585" s="10"/>
      <c r="AU585" s="10"/>
      <c r="AV585" s="10"/>
      <c r="AW585" s="10"/>
      <c r="AX585" s="10"/>
      <c r="AY585" s="10"/>
      <c r="AZ585" s="10"/>
      <c r="BA585" s="10"/>
      <c r="BB585" s="10"/>
    </row>
    <row r="586" spans="28:54" s="12" customFormat="1" x14ac:dyDescent="0.25">
      <c r="AB586" s="10"/>
      <c r="AC586" s="10"/>
      <c r="AD586" s="10"/>
      <c r="AE586" s="10"/>
      <c r="AF586" s="10"/>
      <c r="AG586" s="10"/>
      <c r="AH586" s="10"/>
      <c r="AI586" s="10"/>
      <c r="AJ586" s="10"/>
      <c r="AK586" s="10"/>
      <c r="AL586" s="10"/>
      <c r="AM586" s="10"/>
      <c r="AN586" s="10"/>
      <c r="AO586" s="10"/>
      <c r="AP586" s="10"/>
      <c r="AQ586" s="10"/>
      <c r="AR586" s="10"/>
      <c r="AS586" s="10"/>
      <c r="AT586" s="10"/>
      <c r="AU586" s="10"/>
      <c r="AV586" s="10"/>
      <c r="AW586" s="10"/>
      <c r="AX586" s="10"/>
      <c r="AY586" s="10"/>
      <c r="AZ586" s="10"/>
      <c r="BA586" s="10"/>
      <c r="BB586" s="10"/>
    </row>
    <row r="587" spans="28:54" s="12" customFormat="1" x14ac:dyDescent="0.25">
      <c r="AB587" s="10"/>
      <c r="AC587" s="10"/>
      <c r="AD587" s="10"/>
      <c r="AE587" s="10"/>
      <c r="AF587" s="10"/>
      <c r="AG587" s="10"/>
      <c r="AH587" s="10"/>
      <c r="AI587" s="10"/>
      <c r="AJ587" s="10"/>
      <c r="AK587" s="10"/>
      <c r="AL587" s="10"/>
      <c r="AM587" s="10"/>
      <c r="AN587" s="10"/>
      <c r="AO587" s="10"/>
      <c r="AP587" s="10"/>
      <c r="AQ587" s="10"/>
      <c r="AR587" s="10"/>
      <c r="AS587" s="10"/>
      <c r="AT587" s="10"/>
      <c r="AU587" s="10"/>
      <c r="AV587" s="10"/>
      <c r="AW587" s="10"/>
      <c r="AX587" s="10"/>
      <c r="AY587" s="10"/>
      <c r="AZ587" s="10"/>
      <c r="BA587" s="10"/>
      <c r="BB587" s="10"/>
    </row>
    <row r="588" spans="28:54" s="12" customFormat="1" x14ac:dyDescent="0.25">
      <c r="AB588" s="10"/>
      <c r="AC588" s="10"/>
      <c r="AD588" s="10"/>
      <c r="AE588" s="10"/>
      <c r="AF588" s="10"/>
      <c r="AG588" s="10"/>
      <c r="AH588" s="10"/>
      <c r="AI588" s="10"/>
      <c r="AJ588" s="10"/>
      <c r="AK588" s="10"/>
      <c r="AL588" s="10"/>
      <c r="AM588" s="10"/>
      <c r="AN588" s="10"/>
      <c r="AO588" s="10"/>
      <c r="AP588" s="10"/>
      <c r="AQ588" s="10"/>
      <c r="AR588" s="10"/>
      <c r="AS588" s="10"/>
      <c r="AT588" s="10"/>
      <c r="AU588" s="10"/>
      <c r="AV588" s="10"/>
      <c r="AW588" s="10"/>
      <c r="AX588" s="10"/>
      <c r="AY588" s="10"/>
      <c r="AZ588" s="10"/>
      <c r="BA588" s="10"/>
      <c r="BB588" s="10"/>
    </row>
    <row r="589" spans="28:54" s="12" customFormat="1" x14ac:dyDescent="0.25">
      <c r="AB589" s="10"/>
      <c r="AC589" s="10"/>
      <c r="AD589" s="10"/>
      <c r="AE589" s="10"/>
      <c r="AF589" s="10"/>
      <c r="AG589" s="10"/>
      <c r="AH589" s="10"/>
      <c r="AI589" s="10"/>
      <c r="AJ589" s="10"/>
      <c r="AK589" s="10"/>
      <c r="AL589" s="10"/>
      <c r="AM589" s="10"/>
      <c r="AN589" s="10"/>
      <c r="AO589" s="10"/>
      <c r="AP589" s="10"/>
      <c r="AQ589" s="10"/>
      <c r="AR589" s="10"/>
      <c r="AS589" s="10"/>
      <c r="AT589" s="10"/>
      <c r="AU589" s="10"/>
      <c r="AV589" s="10"/>
      <c r="AW589" s="10"/>
      <c r="AX589" s="10"/>
      <c r="AY589" s="10"/>
      <c r="AZ589" s="10"/>
      <c r="BA589" s="10"/>
      <c r="BB589" s="10"/>
    </row>
    <row r="590" spans="28:54" s="12" customFormat="1" x14ac:dyDescent="0.25">
      <c r="AB590" s="10"/>
      <c r="AC590" s="10"/>
      <c r="AD590" s="10"/>
      <c r="AE590" s="10"/>
      <c r="AF590" s="10"/>
      <c r="AG590" s="10"/>
      <c r="AH590" s="10"/>
      <c r="AI590" s="10"/>
      <c r="AJ590" s="10"/>
      <c r="AK590" s="10"/>
      <c r="AL590" s="10"/>
      <c r="AM590" s="10"/>
      <c r="AN590" s="10"/>
      <c r="AO590" s="10"/>
      <c r="AP590" s="10"/>
      <c r="AQ590" s="10"/>
      <c r="AR590" s="10"/>
      <c r="AS590" s="10"/>
      <c r="AT590" s="10"/>
      <c r="AU590" s="10"/>
      <c r="AV590" s="10"/>
      <c r="AW590" s="10"/>
      <c r="AX590" s="10"/>
      <c r="AY590" s="10"/>
      <c r="AZ590" s="10"/>
      <c r="BA590" s="10"/>
      <c r="BB590" s="10"/>
    </row>
    <row r="591" spans="28:54" s="12" customFormat="1" x14ac:dyDescent="0.25">
      <c r="AB591" s="10"/>
      <c r="AC591" s="10"/>
      <c r="AD591" s="10"/>
      <c r="AE591" s="10"/>
      <c r="AF591" s="10"/>
      <c r="AG591" s="10"/>
      <c r="AH591" s="10"/>
      <c r="AI591" s="10"/>
      <c r="AJ591" s="10"/>
      <c r="AK591" s="10"/>
      <c r="AL591" s="10"/>
      <c r="AM591" s="10"/>
      <c r="AN591" s="10"/>
      <c r="AO591" s="10"/>
      <c r="AP591" s="10"/>
      <c r="AQ591" s="10"/>
      <c r="AR591" s="10"/>
      <c r="AS591" s="10"/>
      <c r="AT591" s="10"/>
      <c r="AU591" s="10"/>
      <c r="AV591" s="10"/>
      <c r="AW591" s="10"/>
      <c r="AX591" s="10"/>
      <c r="AY591" s="10"/>
      <c r="AZ591" s="10"/>
      <c r="BA591" s="10"/>
      <c r="BB591" s="10"/>
    </row>
    <row r="592" spans="28:54" s="12" customFormat="1" x14ac:dyDescent="0.25">
      <c r="AB592" s="10"/>
      <c r="AC592" s="10"/>
      <c r="AD592" s="10"/>
      <c r="AE592" s="10"/>
      <c r="AF592" s="10"/>
      <c r="AG592" s="10"/>
      <c r="AH592" s="10"/>
      <c r="AI592" s="10"/>
      <c r="AJ592" s="10"/>
      <c r="AK592" s="10"/>
      <c r="AL592" s="10"/>
      <c r="AM592" s="10"/>
      <c r="AN592" s="10"/>
      <c r="AO592" s="10"/>
      <c r="AP592" s="10"/>
      <c r="AQ592" s="10"/>
      <c r="AR592" s="10"/>
      <c r="AS592" s="10"/>
      <c r="AT592" s="10"/>
      <c r="AU592" s="10"/>
      <c r="AV592" s="10"/>
      <c r="AW592" s="10"/>
      <c r="AX592" s="10"/>
      <c r="AY592" s="10"/>
      <c r="AZ592" s="10"/>
      <c r="BA592" s="10"/>
      <c r="BB592" s="10"/>
    </row>
    <row r="593" spans="28:54" s="12" customFormat="1" x14ac:dyDescent="0.25">
      <c r="AB593" s="10"/>
      <c r="AC593" s="10"/>
      <c r="AD593" s="10"/>
      <c r="AE593" s="10"/>
      <c r="AF593" s="10"/>
      <c r="AG593" s="10"/>
      <c r="AH593" s="10"/>
      <c r="AI593" s="10"/>
      <c r="AJ593" s="10"/>
      <c r="AK593" s="10"/>
      <c r="AL593" s="10"/>
      <c r="AM593" s="10"/>
      <c r="AN593" s="10"/>
      <c r="AO593" s="10"/>
      <c r="AP593" s="10"/>
      <c r="AQ593" s="10"/>
      <c r="AR593" s="10"/>
      <c r="AS593" s="10"/>
      <c r="AT593" s="10"/>
      <c r="AU593" s="10"/>
      <c r="AV593" s="10"/>
      <c r="AW593" s="10"/>
      <c r="AX593" s="10"/>
      <c r="AY593" s="10"/>
      <c r="AZ593" s="10"/>
      <c r="BA593" s="10"/>
      <c r="BB593" s="10"/>
    </row>
    <row r="594" spans="28:54" s="12" customFormat="1" x14ac:dyDescent="0.25">
      <c r="AB594" s="10"/>
      <c r="AC594" s="10"/>
      <c r="AD594" s="10"/>
      <c r="AE594" s="10"/>
      <c r="AF594" s="10"/>
      <c r="AG594" s="10"/>
      <c r="AH594" s="10"/>
      <c r="AI594" s="10"/>
      <c r="AJ594" s="10"/>
      <c r="AK594" s="10"/>
      <c r="AL594" s="10"/>
      <c r="AM594" s="10"/>
      <c r="AN594" s="10"/>
      <c r="AO594" s="10"/>
      <c r="AP594" s="10"/>
      <c r="AQ594" s="10"/>
      <c r="AR594" s="10"/>
      <c r="AS594" s="10"/>
      <c r="AT594" s="10"/>
      <c r="AU594" s="10"/>
      <c r="AV594" s="10"/>
      <c r="AW594" s="10"/>
      <c r="AX594" s="10"/>
      <c r="AY594" s="10"/>
      <c r="AZ594" s="10"/>
      <c r="BA594" s="10"/>
      <c r="BB594" s="10"/>
    </row>
    <row r="595" spans="28:54" s="12" customFormat="1" x14ac:dyDescent="0.25">
      <c r="AB595" s="10"/>
      <c r="AC595" s="10"/>
      <c r="AD595" s="10"/>
      <c r="AE595" s="10"/>
      <c r="AF595" s="10"/>
      <c r="AG595" s="10"/>
      <c r="AH595" s="10"/>
      <c r="AI595" s="10"/>
      <c r="AJ595" s="10"/>
      <c r="AK595" s="10"/>
      <c r="AL595" s="10"/>
      <c r="AM595" s="10"/>
      <c r="AN595" s="10"/>
      <c r="AO595" s="10"/>
      <c r="AP595" s="10"/>
      <c r="AQ595" s="10"/>
      <c r="AR595" s="10"/>
      <c r="AS595" s="10"/>
      <c r="AT595" s="10"/>
      <c r="AU595" s="10"/>
      <c r="AV595" s="10"/>
      <c r="AW595" s="10"/>
      <c r="AX595" s="10"/>
      <c r="AY595" s="10"/>
      <c r="AZ595" s="10"/>
      <c r="BA595" s="10"/>
      <c r="BB595" s="10"/>
    </row>
    <row r="596" spans="28:54" s="12" customFormat="1" x14ac:dyDescent="0.25">
      <c r="AB596" s="10"/>
      <c r="AC596" s="10"/>
      <c r="AD596" s="10"/>
      <c r="AE596" s="10"/>
      <c r="AF596" s="10"/>
      <c r="AG596" s="10"/>
      <c r="AH596" s="10"/>
      <c r="AI596" s="10"/>
      <c r="AJ596" s="10"/>
      <c r="AK596" s="10"/>
      <c r="AL596" s="10"/>
      <c r="AM596" s="10"/>
      <c r="AN596" s="10"/>
      <c r="AO596" s="10"/>
      <c r="AP596" s="10"/>
      <c r="AQ596" s="10"/>
      <c r="AR596" s="10"/>
      <c r="AS596" s="10"/>
      <c r="AT596" s="10"/>
      <c r="AU596" s="10"/>
      <c r="AV596" s="10"/>
      <c r="AW596" s="10"/>
      <c r="AX596" s="10"/>
      <c r="AY596" s="10"/>
      <c r="AZ596" s="10"/>
      <c r="BA596" s="10"/>
      <c r="BB596" s="10"/>
    </row>
    <row r="597" spans="28:54" s="12" customFormat="1" x14ac:dyDescent="0.25">
      <c r="AB597" s="10"/>
      <c r="AC597" s="10"/>
      <c r="AD597" s="10"/>
      <c r="AE597" s="10"/>
      <c r="AF597" s="10"/>
      <c r="AG597" s="10"/>
      <c r="AH597" s="10"/>
      <c r="AI597" s="10"/>
      <c r="AJ597" s="10"/>
      <c r="AK597" s="10"/>
      <c r="AL597" s="10"/>
      <c r="AM597" s="10"/>
      <c r="AN597" s="10"/>
      <c r="AO597" s="10"/>
      <c r="AP597" s="10"/>
      <c r="AQ597" s="10"/>
      <c r="AR597" s="10"/>
      <c r="AS597" s="10"/>
      <c r="AT597" s="10"/>
      <c r="AU597" s="10"/>
      <c r="AV597" s="10"/>
      <c r="AW597" s="10"/>
      <c r="AX597" s="10"/>
      <c r="AY597" s="10"/>
      <c r="AZ597" s="10"/>
      <c r="BA597" s="10"/>
      <c r="BB597" s="10"/>
    </row>
    <row r="598" spans="28:54" s="12" customFormat="1" x14ac:dyDescent="0.25">
      <c r="AB598" s="10"/>
      <c r="AC598" s="10"/>
      <c r="AD598" s="10"/>
      <c r="AE598" s="10"/>
      <c r="AF598" s="10"/>
      <c r="AG598" s="10"/>
      <c r="AH598" s="10"/>
      <c r="AI598" s="10"/>
      <c r="AJ598" s="10"/>
      <c r="AK598" s="10"/>
      <c r="AL598" s="10"/>
      <c r="AM598" s="10"/>
      <c r="AN598" s="10"/>
      <c r="AO598" s="10"/>
      <c r="AP598" s="10"/>
      <c r="AQ598" s="10"/>
      <c r="AR598" s="10"/>
      <c r="AS598" s="10"/>
      <c r="AT598" s="10"/>
      <c r="AU598" s="10"/>
      <c r="AV598" s="10"/>
      <c r="AW598" s="10"/>
      <c r="AX598" s="10"/>
      <c r="AY598" s="10"/>
      <c r="AZ598" s="10"/>
      <c r="BA598" s="10"/>
      <c r="BB598" s="10"/>
    </row>
    <row r="599" spans="28:54" s="12" customFormat="1" x14ac:dyDescent="0.25">
      <c r="AB599" s="10"/>
      <c r="AC599" s="10"/>
      <c r="AD599" s="10"/>
      <c r="AE599" s="10"/>
      <c r="AF599" s="10"/>
      <c r="AG599" s="10"/>
      <c r="AH599" s="10"/>
      <c r="AI599" s="10"/>
      <c r="AJ599" s="10"/>
      <c r="AK599" s="10"/>
      <c r="AL599" s="10"/>
      <c r="AM599" s="10"/>
      <c r="AN599" s="10"/>
      <c r="AO599" s="10"/>
      <c r="AP599" s="10"/>
      <c r="AQ599" s="10"/>
      <c r="AR599" s="10"/>
      <c r="AS599" s="10"/>
      <c r="AT599" s="10"/>
      <c r="AU599" s="10"/>
      <c r="AV599" s="10"/>
      <c r="AW599" s="10"/>
      <c r="AX599" s="10"/>
      <c r="AY599" s="10"/>
      <c r="AZ599" s="10"/>
      <c r="BA599" s="10"/>
      <c r="BB599" s="10"/>
    </row>
    <row r="600" spans="28:54" s="12" customFormat="1" x14ac:dyDescent="0.25">
      <c r="AB600" s="10"/>
      <c r="AC600" s="10"/>
      <c r="AD600" s="10"/>
      <c r="AE600" s="10"/>
      <c r="AF600" s="10"/>
      <c r="AG600" s="10"/>
      <c r="AH600" s="10"/>
      <c r="AI600" s="10"/>
      <c r="AJ600" s="10"/>
      <c r="AK600" s="10"/>
      <c r="AL600" s="10"/>
      <c r="AM600" s="10"/>
      <c r="AN600" s="10"/>
      <c r="AO600" s="10"/>
      <c r="AP600" s="10"/>
      <c r="AQ600" s="10"/>
      <c r="AR600" s="10"/>
      <c r="AS600" s="10"/>
      <c r="AT600" s="10"/>
      <c r="AU600" s="10"/>
      <c r="AV600" s="10"/>
      <c r="AW600" s="10"/>
      <c r="AX600" s="10"/>
      <c r="AY600" s="10"/>
      <c r="AZ600" s="10"/>
      <c r="BA600" s="10"/>
      <c r="BB600" s="10"/>
    </row>
    <row r="601" spans="28:54" s="12" customFormat="1" x14ac:dyDescent="0.25">
      <c r="AB601" s="10"/>
      <c r="AC601" s="10"/>
      <c r="AD601" s="10"/>
      <c r="AE601" s="10"/>
      <c r="AF601" s="10"/>
      <c r="AG601" s="10"/>
      <c r="AH601" s="10"/>
      <c r="AI601" s="10"/>
      <c r="AJ601" s="10"/>
      <c r="AK601" s="10"/>
      <c r="AL601" s="10"/>
      <c r="AM601" s="10"/>
      <c r="AN601" s="10"/>
      <c r="AO601" s="10"/>
      <c r="AP601" s="10"/>
      <c r="AQ601" s="10"/>
      <c r="AR601" s="10"/>
      <c r="AS601" s="10"/>
      <c r="AT601" s="10"/>
      <c r="AU601" s="10"/>
      <c r="AV601" s="10"/>
      <c r="AW601" s="10"/>
      <c r="AX601" s="10"/>
      <c r="AY601" s="10"/>
      <c r="AZ601" s="10"/>
      <c r="BA601" s="10"/>
      <c r="BB601" s="10"/>
    </row>
    <row r="602" spans="28:54" s="12" customFormat="1" x14ac:dyDescent="0.25">
      <c r="AB602" s="10"/>
      <c r="AC602" s="10"/>
      <c r="AD602" s="10"/>
      <c r="AE602" s="10"/>
      <c r="AF602" s="10"/>
      <c r="AG602" s="10"/>
      <c r="AH602" s="10"/>
      <c r="AI602" s="10"/>
      <c r="AJ602" s="10"/>
      <c r="AK602" s="10"/>
      <c r="AL602" s="10"/>
      <c r="AM602" s="10"/>
      <c r="AN602" s="10"/>
      <c r="AO602" s="10"/>
      <c r="AP602" s="10"/>
      <c r="AQ602" s="10"/>
      <c r="AR602" s="10"/>
      <c r="AS602" s="10"/>
      <c r="AT602" s="10"/>
      <c r="AU602" s="10"/>
      <c r="AV602" s="10"/>
      <c r="AW602" s="10"/>
      <c r="AX602" s="10"/>
      <c r="AY602" s="10"/>
      <c r="AZ602" s="10"/>
      <c r="BA602" s="10"/>
      <c r="BB602" s="10"/>
    </row>
    <row r="603" spans="28:54" s="12" customFormat="1" x14ac:dyDescent="0.25">
      <c r="AB603" s="10"/>
      <c r="AC603" s="10"/>
      <c r="AD603" s="10"/>
      <c r="AE603" s="10"/>
      <c r="AF603" s="10"/>
      <c r="AG603" s="10"/>
      <c r="AH603" s="10"/>
      <c r="AI603" s="10"/>
      <c r="AJ603" s="10"/>
      <c r="AK603" s="10"/>
      <c r="AL603" s="10"/>
      <c r="AM603" s="10"/>
      <c r="AN603" s="10"/>
      <c r="AO603" s="10"/>
      <c r="AP603" s="10"/>
      <c r="AQ603" s="10"/>
      <c r="AR603" s="10"/>
      <c r="AS603" s="10"/>
      <c r="AT603" s="10"/>
      <c r="AU603" s="10"/>
      <c r="AV603" s="10"/>
      <c r="AW603" s="10"/>
      <c r="AX603" s="10"/>
      <c r="AY603" s="10"/>
      <c r="AZ603" s="10"/>
      <c r="BA603" s="10"/>
      <c r="BB603" s="10"/>
    </row>
    <row r="604" spans="28:54" s="12" customFormat="1" x14ac:dyDescent="0.25">
      <c r="AB604" s="10"/>
      <c r="AC604" s="10"/>
      <c r="AD604" s="10"/>
      <c r="AE604" s="10"/>
      <c r="AF604" s="10"/>
      <c r="AG604" s="10"/>
      <c r="AH604" s="10"/>
      <c r="AI604" s="10"/>
      <c r="AJ604" s="10"/>
      <c r="AK604" s="10"/>
      <c r="AL604" s="10"/>
      <c r="AM604" s="10"/>
      <c r="AN604" s="10"/>
      <c r="AO604" s="10"/>
      <c r="AP604" s="10"/>
      <c r="AQ604" s="10"/>
      <c r="AR604" s="10"/>
      <c r="AS604" s="10"/>
      <c r="AT604" s="10"/>
      <c r="AU604" s="10"/>
      <c r="AV604" s="10"/>
      <c r="AW604" s="10"/>
      <c r="AX604" s="10"/>
      <c r="AY604" s="10"/>
      <c r="AZ604" s="10"/>
      <c r="BA604" s="10"/>
      <c r="BB604" s="10"/>
    </row>
    <row r="605" spans="28:54" s="12" customFormat="1" x14ac:dyDescent="0.25">
      <c r="AB605" s="10"/>
      <c r="AC605" s="10"/>
      <c r="AD605" s="10"/>
      <c r="AE605" s="10"/>
      <c r="AF605" s="10"/>
      <c r="AG605" s="10"/>
      <c r="AH605" s="10"/>
      <c r="AI605" s="10"/>
      <c r="AJ605" s="10"/>
      <c r="AK605" s="10"/>
      <c r="AL605" s="10"/>
      <c r="AM605" s="10"/>
      <c r="AN605" s="10"/>
      <c r="AO605" s="10"/>
      <c r="AP605" s="10"/>
      <c r="AQ605" s="10"/>
      <c r="AR605" s="10"/>
      <c r="AS605" s="10"/>
      <c r="AT605" s="10"/>
      <c r="AU605" s="10"/>
      <c r="AV605" s="10"/>
      <c r="AW605" s="10"/>
      <c r="AX605" s="10"/>
      <c r="AY605" s="10"/>
      <c r="AZ605" s="10"/>
      <c r="BA605" s="10"/>
      <c r="BB605" s="10"/>
    </row>
    <row r="606" spans="28:54" s="12" customFormat="1" x14ac:dyDescent="0.25">
      <c r="AB606" s="10"/>
      <c r="AC606" s="10"/>
      <c r="AD606" s="10"/>
      <c r="AE606" s="10"/>
      <c r="AF606" s="10"/>
      <c r="AG606" s="10"/>
      <c r="AH606" s="10"/>
      <c r="AI606" s="10"/>
      <c r="AJ606" s="10"/>
      <c r="AK606" s="10"/>
      <c r="AL606" s="10"/>
      <c r="AM606" s="10"/>
      <c r="AN606" s="10"/>
      <c r="AO606" s="10"/>
      <c r="AP606" s="10"/>
      <c r="AQ606" s="10"/>
      <c r="AR606" s="10"/>
      <c r="AS606" s="10"/>
      <c r="AT606" s="10"/>
      <c r="AU606" s="10"/>
      <c r="AV606" s="10"/>
      <c r="AW606" s="10"/>
      <c r="AX606" s="10"/>
      <c r="AY606" s="10"/>
      <c r="AZ606" s="10"/>
      <c r="BA606" s="10"/>
      <c r="BB606" s="10"/>
    </row>
    <row r="607" spans="28:54" s="12" customFormat="1" x14ac:dyDescent="0.25">
      <c r="AB607" s="10"/>
      <c r="AC607" s="10"/>
      <c r="AD607" s="10"/>
      <c r="AE607" s="10"/>
      <c r="AF607" s="10"/>
      <c r="AG607" s="10"/>
      <c r="AH607" s="10"/>
      <c r="AI607" s="10"/>
      <c r="AJ607" s="10"/>
      <c r="AK607" s="10"/>
      <c r="AL607" s="10"/>
      <c r="AM607" s="10"/>
      <c r="AN607" s="10"/>
      <c r="AO607" s="10"/>
      <c r="AP607" s="10"/>
      <c r="AQ607" s="10"/>
      <c r="AR607" s="10"/>
      <c r="AS607" s="10"/>
      <c r="AT607" s="10"/>
      <c r="AU607" s="10"/>
      <c r="AV607" s="10"/>
      <c r="AW607" s="10"/>
      <c r="AX607" s="10"/>
      <c r="AY607" s="10"/>
      <c r="AZ607" s="10"/>
      <c r="BA607" s="10"/>
      <c r="BB607" s="10"/>
    </row>
    <row r="608" spans="28:54" s="12" customFormat="1" x14ac:dyDescent="0.25">
      <c r="AB608" s="10"/>
      <c r="AC608" s="10"/>
      <c r="AD608" s="10"/>
      <c r="AE608" s="10"/>
      <c r="AF608" s="10"/>
      <c r="AG608" s="10"/>
      <c r="AH608" s="10"/>
      <c r="AI608" s="10"/>
      <c r="AJ608" s="10"/>
      <c r="AK608" s="10"/>
      <c r="AL608" s="10"/>
      <c r="AM608" s="10"/>
      <c r="AN608" s="10"/>
      <c r="AO608" s="10"/>
      <c r="AP608" s="10"/>
      <c r="AQ608" s="10"/>
      <c r="AR608" s="10"/>
      <c r="AS608" s="10"/>
      <c r="AT608" s="10"/>
      <c r="AU608" s="10"/>
      <c r="AV608" s="10"/>
      <c r="AW608" s="10"/>
      <c r="AX608" s="10"/>
      <c r="AY608" s="10"/>
      <c r="AZ608" s="10"/>
      <c r="BA608" s="10"/>
      <c r="BB608" s="10"/>
    </row>
    <row r="609" spans="28:54" s="12" customFormat="1" x14ac:dyDescent="0.25">
      <c r="AB609" s="10"/>
      <c r="AC609" s="10"/>
      <c r="AD609" s="10"/>
      <c r="AE609" s="10"/>
      <c r="AF609" s="10"/>
      <c r="AG609" s="10"/>
      <c r="AH609" s="10"/>
      <c r="AI609" s="10"/>
      <c r="AJ609" s="10"/>
      <c r="AK609" s="10"/>
      <c r="AL609" s="10"/>
      <c r="AM609" s="10"/>
      <c r="AN609" s="10"/>
      <c r="AO609" s="10"/>
      <c r="AP609" s="10"/>
      <c r="AQ609" s="10"/>
      <c r="AR609" s="10"/>
      <c r="AS609" s="10"/>
      <c r="AT609" s="10"/>
      <c r="AU609" s="10"/>
      <c r="AV609" s="10"/>
      <c r="AW609" s="10"/>
      <c r="AX609" s="10"/>
      <c r="AY609" s="10"/>
      <c r="AZ609" s="10"/>
      <c r="BA609" s="10"/>
      <c r="BB609" s="10"/>
    </row>
    <row r="610" spans="28:54" s="12" customFormat="1" x14ac:dyDescent="0.25">
      <c r="AB610" s="10"/>
      <c r="AC610" s="10"/>
      <c r="AD610" s="10"/>
      <c r="AE610" s="10"/>
      <c r="AF610" s="10"/>
      <c r="AG610" s="10"/>
      <c r="AH610" s="10"/>
      <c r="AI610" s="10"/>
      <c r="AJ610" s="10"/>
      <c r="AK610" s="10"/>
      <c r="AL610" s="10"/>
      <c r="AM610" s="10"/>
      <c r="AN610" s="10"/>
      <c r="AO610" s="10"/>
      <c r="AP610" s="10"/>
      <c r="AQ610" s="10"/>
      <c r="AR610" s="10"/>
      <c r="AS610" s="10"/>
      <c r="AT610" s="10"/>
      <c r="AU610" s="10"/>
      <c r="AV610" s="10"/>
      <c r="AW610" s="10"/>
      <c r="AX610" s="10"/>
      <c r="AY610" s="10"/>
      <c r="AZ610" s="10"/>
      <c r="BA610" s="10"/>
      <c r="BB610" s="10"/>
    </row>
    <row r="611" spans="28:54" s="12" customFormat="1" x14ac:dyDescent="0.25">
      <c r="AB611" s="10"/>
      <c r="AC611" s="10"/>
      <c r="AD611" s="10"/>
      <c r="AE611" s="10"/>
      <c r="AF611" s="10"/>
      <c r="AG611" s="10"/>
      <c r="AH611" s="10"/>
      <c r="AI611" s="10"/>
      <c r="AJ611" s="10"/>
      <c r="AK611" s="10"/>
      <c r="AL611" s="10"/>
      <c r="AM611" s="10"/>
      <c r="AN611" s="10"/>
      <c r="AO611" s="10"/>
      <c r="AP611" s="10"/>
      <c r="AQ611" s="10"/>
      <c r="AR611" s="10"/>
      <c r="AS611" s="10"/>
      <c r="AT611" s="10"/>
      <c r="AU611" s="10"/>
      <c r="AV611" s="10"/>
      <c r="AW611" s="10"/>
      <c r="AX611" s="10"/>
      <c r="AY611" s="10"/>
      <c r="AZ611" s="10"/>
      <c r="BA611" s="10"/>
      <c r="BB611" s="10"/>
    </row>
    <row r="612" spans="28:54" s="12" customFormat="1" x14ac:dyDescent="0.25">
      <c r="AB612" s="10"/>
      <c r="AC612" s="10"/>
      <c r="AD612" s="10"/>
      <c r="AE612" s="10"/>
      <c r="AF612" s="10"/>
      <c r="AG612" s="10"/>
      <c r="AH612" s="10"/>
      <c r="AI612" s="10"/>
      <c r="AJ612" s="10"/>
      <c r="AK612" s="10"/>
      <c r="AL612" s="10"/>
      <c r="AM612" s="10"/>
      <c r="AN612" s="10"/>
      <c r="AO612" s="10"/>
      <c r="AP612" s="10"/>
      <c r="AQ612" s="10"/>
      <c r="AR612" s="10"/>
      <c r="AS612" s="10"/>
      <c r="AT612" s="10"/>
      <c r="AU612" s="10"/>
      <c r="AV612" s="10"/>
      <c r="AW612" s="10"/>
      <c r="AX612" s="10"/>
      <c r="AY612" s="10"/>
      <c r="AZ612" s="10"/>
      <c r="BA612" s="10"/>
      <c r="BB612" s="10"/>
    </row>
    <row r="613" spans="28:54" s="12" customFormat="1" x14ac:dyDescent="0.25">
      <c r="AB613" s="10"/>
      <c r="AC613" s="10"/>
      <c r="AD613" s="10"/>
      <c r="AE613" s="10"/>
      <c r="AF613" s="10"/>
      <c r="AG613" s="10"/>
      <c r="AH613" s="10"/>
      <c r="AI613" s="10"/>
      <c r="AJ613" s="10"/>
      <c r="AK613" s="10"/>
      <c r="AL613" s="10"/>
      <c r="AM613" s="10"/>
      <c r="AN613" s="10"/>
      <c r="AO613" s="10"/>
      <c r="AP613" s="10"/>
      <c r="AQ613" s="10"/>
      <c r="AR613" s="10"/>
      <c r="AS613" s="10"/>
      <c r="AT613" s="10"/>
      <c r="AU613" s="10"/>
      <c r="AV613" s="10"/>
      <c r="AW613" s="10"/>
      <c r="AX613" s="10"/>
      <c r="AY613" s="10"/>
      <c r="AZ613" s="10"/>
      <c r="BA613" s="10"/>
      <c r="BB613" s="10"/>
    </row>
    <row r="614" spans="28:54" s="12" customFormat="1" x14ac:dyDescent="0.25">
      <c r="AB614" s="10"/>
      <c r="AC614" s="10"/>
      <c r="AD614" s="10"/>
      <c r="AE614" s="10"/>
      <c r="AF614" s="10"/>
      <c r="AG614" s="10"/>
      <c r="AH614" s="10"/>
      <c r="AI614" s="10"/>
      <c r="AJ614" s="10"/>
      <c r="AK614" s="10"/>
      <c r="AL614" s="10"/>
      <c r="AM614" s="10"/>
      <c r="AN614" s="10"/>
      <c r="AO614" s="10"/>
      <c r="AP614" s="10"/>
      <c r="AQ614" s="10"/>
      <c r="AR614" s="10"/>
      <c r="AS614" s="10"/>
      <c r="AT614" s="10"/>
      <c r="AU614" s="10"/>
      <c r="AV614" s="10"/>
      <c r="AW614" s="10"/>
      <c r="AX614" s="10"/>
      <c r="AY614" s="10"/>
      <c r="AZ614" s="10"/>
      <c r="BA614" s="10"/>
      <c r="BB614" s="10"/>
    </row>
    <row r="615" spans="28:54" s="12" customFormat="1" x14ac:dyDescent="0.25">
      <c r="AB615" s="10"/>
      <c r="AC615" s="10"/>
      <c r="AD615" s="10"/>
      <c r="AE615" s="10"/>
      <c r="AF615" s="10"/>
      <c r="AG615" s="10"/>
      <c r="AH615" s="10"/>
      <c r="AI615" s="10"/>
      <c r="AJ615" s="10"/>
      <c r="AK615" s="10"/>
      <c r="AL615" s="10"/>
      <c r="AM615" s="10"/>
      <c r="AN615" s="10"/>
      <c r="AO615" s="10"/>
      <c r="AP615" s="10"/>
      <c r="AQ615" s="10"/>
      <c r="AR615" s="10"/>
      <c r="AS615" s="10"/>
      <c r="AT615" s="10"/>
      <c r="AU615" s="10"/>
      <c r="AV615" s="10"/>
      <c r="AW615" s="10"/>
      <c r="AX615" s="10"/>
      <c r="AY615" s="10"/>
      <c r="AZ615" s="10"/>
      <c r="BA615" s="10"/>
      <c r="BB615" s="10"/>
    </row>
    <row r="616" spans="28:54" s="12" customFormat="1" x14ac:dyDescent="0.25">
      <c r="AB616" s="10"/>
      <c r="AC616" s="10"/>
      <c r="AD616" s="10"/>
      <c r="AE616" s="10"/>
      <c r="AF616" s="10"/>
      <c r="AG616" s="10"/>
      <c r="AH616" s="10"/>
      <c r="AI616" s="10"/>
      <c r="AJ616" s="10"/>
      <c r="AK616" s="10"/>
      <c r="AL616" s="10"/>
      <c r="AM616" s="10"/>
      <c r="AN616" s="10"/>
      <c r="AO616" s="10"/>
      <c r="AP616" s="10"/>
      <c r="AQ616" s="10"/>
      <c r="AR616" s="10"/>
      <c r="AS616" s="10"/>
      <c r="AT616" s="10"/>
      <c r="AU616" s="10"/>
      <c r="AV616" s="10"/>
      <c r="AW616" s="10"/>
      <c r="AX616" s="10"/>
      <c r="AY616" s="10"/>
      <c r="AZ616" s="10"/>
      <c r="BA616" s="10"/>
      <c r="BB616" s="10"/>
    </row>
    <row r="617" spans="28:54" s="12" customFormat="1" x14ac:dyDescent="0.25">
      <c r="AB617" s="10"/>
      <c r="AC617" s="10"/>
      <c r="AD617" s="10"/>
      <c r="AE617" s="10"/>
      <c r="AF617" s="10"/>
      <c r="AG617" s="10"/>
      <c r="AH617" s="10"/>
      <c r="AI617" s="10"/>
      <c r="AJ617" s="10"/>
      <c r="AK617" s="10"/>
      <c r="AL617" s="10"/>
      <c r="AM617" s="10"/>
      <c r="AN617" s="10"/>
      <c r="AO617" s="10"/>
      <c r="AP617" s="10"/>
      <c r="AQ617" s="10"/>
      <c r="AR617" s="10"/>
      <c r="AS617" s="10"/>
      <c r="AT617" s="10"/>
      <c r="AU617" s="10"/>
      <c r="AV617" s="10"/>
      <c r="AW617" s="10"/>
      <c r="AX617" s="10"/>
      <c r="AY617" s="10"/>
      <c r="AZ617" s="10"/>
      <c r="BA617" s="10"/>
      <c r="BB617" s="10"/>
    </row>
    <row r="618" spans="28:54" s="12" customFormat="1" x14ac:dyDescent="0.25">
      <c r="AB618" s="10"/>
      <c r="AC618" s="10"/>
      <c r="AD618" s="10"/>
      <c r="AE618" s="10"/>
      <c r="AF618" s="10"/>
      <c r="AG618" s="10"/>
      <c r="AH618" s="10"/>
      <c r="AI618" s="10"/>
      <c r="AJ618" s="10"/>
      <c r="AK618" s="10"/>
      <c r="AL618" s="10"/>
      <c r="AM618" s="10"/>
      <c r="AN618" s="10"/>
      <c r="AO618" s="10"/>
      <c r="AP618" s="10"/>
      <c r="AQ618" s="10"/>
      <c r="AR618" s="10"/>
      <c r="AS618" s="10"/>
      <c r="AT618" s="10"/>
      <c r="AU618" s="10"/>
      <c r="AV618" s="10"/>
      <c r="AW618" s="10"/>
      <c r="AX618" s="10"/>
      <c r="AY618" s="10"/>
      <c r="AZ618" s="10"/>
      <c r="BA618" s="10"/>
      <c r="BB618" s="10"/>
    </row>
    <row r="619" spans="28:54" s="12" customFormat="1" x14ac:dyDescent="0.25">
      <c r="AB619" s="10"/>
      <c r="AC619" s="10"/>
      <c r="AD619" s="10"/>
      <c r="AE619" s="10"/>
      <c r="AF619" s="10"/>
      <c r="AG619" s="10"/>
      <c r="AH619" s="10"/>
      <c r="AI619" s="10"/>
      <c r="AJ619" s="10"/>
      <c r="AK619" s="10"/>
      <c r="AL619" s="10"/>
      <c r="AM619" s="10"/>
      <c r="AN619" s="10"/>
      <c r="AO619" s="10"/>
      <c r="AP619" s="10"/>
      <c r="AQ619" s="10"/>
      <c r="AR619" s="10"/>
      <c r="AS619" s="10"/>
      <c r="AT619" s="10"/>
      <c r="AU619" s="10"/>
      <c r="AV619" s="10"/>
      <c r="AW619" s="10"/>
      <c r="AX619" s="10"/>
      <c r="AY619" s="10"/>
      <c r="AZ619" s="10"/>
      <c r="BA619" s="10"/>
      <c r="BB619" s="10"/>
    </row>
    <row r="620" spans="28:54" s="12" customFormat="1" x14ac:dyDescent="0.25">
      <c r="AB620" s="10"/>
      <c r="AC620" s="10"/>
      <c r="AD620" s="10"/>
      <c r="AE620" s="10"/>
      <c r="AF620" s="10"/>
      <c r="AG620" s="10"/>
      <c r="AH620" s="10"/>
      <c r="AI620" s="10"/>
      <c r="AJ620" s="10"/>
      <c r="AK620" s="10"/>
      <c r="AL620" s="10"/>
      <c r="AM620" s="10"/>
      <c r="AN620" s="10"/>
      <c r="AO620" s="10"/>
      <c r="AP620" s="10"/>
      <c r="AQ620" s="10"/>
      <c r="AR620" s="10"/>
      <c r="AS620" s="10"/>
      <c r="AT620" s="10"/>
      <c r="AU620" s="10"/>
      <c r="AV620" s="10"/>
      <c r="AW620" s="10"/>
      <c r="AX620" s="10"/>
      <c r="AY620" s="10"/>
      <c r="AZ620" s="10"/>
      <c r="BA620" s="10"/>
      <c r="BB620" s="10"/>
    </row>
    <row r="621" spans="28:54" s="12" customFormat="1" x14ac:dyDescent="0.25">
      <c r="AB621" s="10"/>
      <c r="AC621" s="10"/>
      <c r="AD621" s="10"/>
      <c r="AE621" s="10"/>
      <c r="AF621" s="10"/>
      <c r="AG621" s="10"/>
      <c r="AH621" s="10"/>
      <c r="AI621" s="10"/>
      <c r="AJ621" s="10"/>
      <c r="AK621" s="10"/>
      <c r="AL621" s="10"/>
      <c r="AM621" s="10"/>
      <c r="AN621" s="10"/>
      <c r="AO621" s="10"/>
      <c r="AP621" s="10"/>
      <c r="AQ621" s="10"/>
      <c r="AR621" s="10"/>
      <c r="AS621" s="10"/>
      <c r="AT621" s="10"/>
      <c r="AU621" s="10"/>
      <c r="AV621" s="10"/>
      <c r="AW621" s="10"/>
      <c r="AX621" s="10"/>
      <c r="AY621" s="10"/>
      <c r="AZ621" s="10"/>
      <c r="BA621" s="10"/>
      <c r="BB621" s="10"/>
    </row>
    <row r="622" spans="28:54" s="12" customFormat="1" x14ac:dyDescent="0.25">
      <c r="AB622" s="10"/>
      <c r="AC622" s="10"/>
      <c r="AD622" s="10"/>
      <c r="AE622" s="10"/>
      <c r="AF622" s="10"/>
      <c r="AG622" s="10"/>
      <c r="AH622" s="10"/>
      <c r="AI622" s="10"/>
      <c r="AJ622" s="10"/>
      <c r="AK622" s="10"/>
      <c r="AL622" s="10"/>
      <c r="AM622" s="10"/>
      <c r="AN622" s="10"/>
      <c r="AO622" s="10"/>
      <c r="AP622" s="10"/>
      <c r="AQ622" s="10"/>
      <c r="AR622" s="10"/>
      <c r="AS622" s="10"/>
      <c r="AT622" s="10"/>
      <c r="AU622" s="10"/>
      <c r="AV622" s="10"/>
      <c r="AW622" s="10"/>
      <c r="AX622" s="10"/>
      <c r="AY622" s="10"/>
      <c r="AZ622" s="10"/>
      <c r="BA622" s="10"/>
      <c r="BB622" s="10"/>
    </row>
    <row r="623" spans="28:54" s="12" customFormat="1" x14ac:dyDescent="0.25">
      <c r="AB623" s="10"/>
      <c r="AC623" s="10"/>
      <c r="AD623" s="10"/>
      <c r="AE623" s="10"/>
      <c r="AF623" s="10"/>
      <c r="AG623" s="10"/>
      <c r="AH623" s="10"/>
      <c r="AI623" s="10"/>
      <c r="AJ623" s="10"/>
      <c r="AK623" s="10"/>
      <c r="AL623" s="10"/>
      <c r="AM623" s="10"/>
      <c r="AN623" s="10"/>
      <c r="AO623" s="10"/>
      <c r="AP623" s="10"/>
      <c r="AQ623" s="10"/>
      <c r="AR623" s="10"/>
      <c r="AS623" s="10"/>
      <c r="AT623" s="10"/>
      <c r="AU623" s="10"/>
      <c r="AV623" s="10"/>
      <c r="AW623" s="10"/>
      <c r="AX623" s="10"/>
      <c r="AY623" s="10"/>
      <c r="AZ623" s="10"/>
      <c r="BA623" s="10"/>
      <c r="BB623" s="10"/>
    </row>
    <row r="624" spans="28:54" s="12" customFormat="1" x14ac:dyDescent="0.25">
      <c r="AB624" s="10"/>
      <c r="AC624" s="10"/>
      <c r="AD624" s="10"/>
      <c r="AE624" s="10"/>
      <c r="AF624" s="10"/>
      <c r="AG624" s="10"/>
      <c r="AH624" s="10"/>
      <c r="AI624" s="10"/>
      <c r="AJ624" s="10"/>
      <c r="AK624" s="10"/>
      <c r="AL624" s="10"/>
      <c r="AM624" s="10"/>
      <c r="AN624" s="10"/>
      <c r="AO624" s="10"/>
      <c r="AP624" s="10"/>
      <c r="AQ624" s="10"/>
      <c r="AR624" s="10"/>
      <c r="AS624" s="10"/>
      <c r="AT624" s="10"/>
      <c r="AU624" s="10"/>
      <c r="AV624" s="10"/>
      <c r="AW624" s="10"/>
      <c r="AX624" s="10"/>
      <c r="AY624" s="10"/>
      <c r="AZ624" s="10"/>
      <c r="BA624" s="10"/>
      <c r="BB624" s="10"/>
    </row>
    <row r="625" spans="28:54" s="12" customFormat="1" x14ac:dyDescent="0.25">
      <c r="AB625" s="10"/>
      <c r="AC625" s="10"/>
      <c r="AD625" s="10"/>
      <c r="AE625" s="10"/>
      <c r="AF625" s="10"/>
      <c r="AG625" s="10"/>
      <c r="AH625" s="10"/>
      <c r="AI625" s="10"/>
      <c r="AJ625" s="10"/>
      <c r="AK625" s="10"/>
      <c r="AL625" s="10"/>
      <c r="AM625" s="10"/>
      <c r="AN625" s="10"/>
      <c r="AO625" s="10"/>
      <c r="AP625" s="10"/>
      <c r="AQ625" s="10"/>
      <c r="AR625" s="10"/>
      <c r="AS625" s="10"/>
      <c r="AT625" s="10"/>
      <c r="AU625" s="10"/>
      <c r="AV625" s="10"/>
      <c r="AW625" s="10"/>
      <c r="AX625" s="10"/>
      <c r="AY625" s="10"/>
      <c r="AZ625" s="10"/>
      <c r="BA625" s="10"/>
      <c r="BB625" s="10"/>
    </row>
    <row r="626" spans="28:54" s="12" customFormat="1" x14ac:dyDescent="0.25">
      <c r="AB626" s="10"/>
      <c r="AC626" s="10"/>
      <c r="AD626" s="10"/>
      <c r="AE626" s="10"/>
      <c r="AF626" s="10"/>
      <c r="AG626" s="10"/>
      <c r="AH626" s="10"/>
      <c r="AI626" s="10"/>
      <c r="AJ626" s="10"/>
      <c r="AK626" s="10"/>
      <c r="AL626" s="10"/>
      <c r="AM626" s="10"/>
      <c r="AN626" s="10"/>
      <c r="AO626" s="10"/>
      <c r="AP626" s="10"/>
      <c r="AQ626" s="10"/>
      <c r="AR626" s="10"/>
      <c r="AS626" s="10"/>
      <c r="AT626" s="10"/>
      <c r="AU626" s="10"/>
      <c r="AV626" s="10"/>
      <c r="AW626" s="10"/>
      <c r="AX626" s="10"/>
      <c r="AY626" s="10"/>
      <c r="AZ626" s="10"/>
      <c r="BA626" s="10"/>
      <c r="BB626" s="10"/>
    </row>
    <row r="627" spans="28:54" s="12" customFormat="1" x14ac:dyDescent="0.25">
      <c r="AB627" s="10"/>
      <c r="AC627" s="10"/>
      <c r="AD627" s="10"/>
      <c r="AE627" s="10"/>
      <c r="AF627" s="10"/>
      <c r="AG627" s="10"/>
      <c r="AH627" s="10"/>
      <c r="AI627" s="10"/>
      <c r="AJ627" s="10"/>
      <c r="AK627" s="10"/>
      <c r="AL627" s="10"/>
      <c r="AM627" s="10"/>
      <c r="AN627" s="10"/>
      <c r="AO627" s="10"/>
      <c r="AP627" s="10"/>
      <c r="AQ627" s="10"/>
      <c r="AR627" s="10"/>
      <c r="AS627" s="10"/>
      <c r="AT627" s="10"/>
      <c r="AU627" s="10"/>
      <c r="AV627" s="10"/>
      <c r="AW627" s="10"/>
      <c r="AX627" s="10"/>
      <c r="AY627" s="10"/>
      <c r="AZ627" s="10"/>
      <c r="BA627" s="10"/>
      <c r="BB627" s="10"/>
    </row>
    <row r="628" spans="28:54" s="12" customFormat="1" x14ac:dyDescent="0.25">
      <c r="AB628" s="10"/>
      <c r="AC628" s="10"/>
      <c r="AD628" s="10"/>
      <c r="AE628" s="10"/>
      <c r="AF628" s="10"/>
      <c r="AG628" s="10"/>
      <c r="AH628" s="10"/>
      <c r="AI628" s="10"/>
      <c r="AJ628" s="10"/>
      <c r="AK628" s="10"/>
      <c r="AL628" s="10"/>
      <c r="AM628" s="10"/>
      <c r="AN628" s="10"/>
      <c r="AO628" s="10"/>
      <c r="AP628" s="10"/>
      <c r="AQ628" s="10"/>
      <c r="AR628" s="10"/>
      <c r="AS628" s="10"/>
      <c r="AT628" s="10"/>
      <c r="AU628" s="10"/>
      <c r="AV628" s="10"/>
      <c r="AW628" s="10"/>
      <c r="AX628" s="10"/>
      <c r="AY628" s="10"/>
      <c r="AZ628" s="10"/>
      <c r="BA628" s="10"/>
      <c r="BB628" s="10"/>
    </row>
    <row r="629" spans="28:54" s="12" customFormat="1" x14ac:dyDescent="0.25">
      <c r="AB629" s="10"/>
      <c r="AC629" s="10"/>
      <c r="AD629" s="10"/>
      <c r="AE629" s="10"/>
      <c r="AF629" s="10"/>
      <c r="AG629" s="10"/>
      <c r="AH629" s="10"/>
      <c r="AI629" s="10"/>
      <c r="AJ629" s="10"/>
      <c r="AK629" s="10"/>
      <c r="AL629" s="10"/>
      <c r="AM629" s="10"/>
      <c r="AN629" s="10"/>
      <c r="AO629" s="10"/>
      <c r="AP629" s="10"/>
      <c r="AQ629" s="10"/>
      <c r="AR629" s="10"/>
      <c r="AS629" s="10"/>
      <c r="AT629" s="10"/>
      <c r="AU629" s="10"/>
      <c r="AV629" s="10"/>
      <c r="AW629" s="10"/>
      <c r="AX629" s="10"/>
      <c r="AY629" s="10"/>
      <c r="AZ629" s="10"/>
      <c r="BA629" s="10"/>
      <c r="BB629" s="10"/>
    </row>
    <row r="630" spans="28:54" s="12" customFormat="1" x14ac:dyDescent="0.25">
      <c r="AB630" s="10"/>
      <c r="AC630" s="10"/>
      <c r="AD630" s="10"/>
      <c r="AE630" s="10"/>
      <c r="AF630" s="10"/>
      <c r="AG630" s="10"/>
      <c r="AH630" s="10"/>
      <c r="AI630" s="10"/>
      <c r="AJ630" s="10"/>
      <c r="AK630" s="10"/>
      <c r="AL630" s="10"/>
      <c r="AM630" s="10"/>
      <c r="AN630" s="10"/>
      <c r="AO630" s="10"/>
      <c r="AP630" s="10"/>
      <c r="AQ630" s="10"/>
      <c r="AR630" s="10"/>
      <c r="AS630" s="10"/>
      <c r="AT630" s="10"/>
      <c r="AU630" s="10"/>
      <c r="AV630" s="10"/>
      <c r="AW630" s="10"/>
      <c r="AX630" s="10"/>
      <c r="AY630" s="10"/>
      <c r="AZ630" s="10"/>
      <c r="BA630" s="10"/>
      <c r="BB630" s="10"/>
    </row>
    <row r="631" spans="28:54" s="12" customFormat="1" x14ac:dyDescent="0.25">
      <c r="AB631" s="10"/>
      <c r="AC631" s="10"/>
      <c r="AD631" s="10"/>
      <c r="AE631" s="10"/>
      <c r="AF631" s="10"/>
      <c r="AG631" s="10"/>
      <c r="AH631" s="10"/>
      <c r="AI631" s="10"/>
      <c r="AJ631" s="10"/>
      <c r="AK631" s="10"/>
      <c r="AL631" s="10"/>
      <c r="AM631" s="10"/>
      <c r="AN631" s="10"/>
      <c r="AO631" s="10"/>
      <c r="AP631" s="10"/>
      <c r="AQ631" s="10"/>
      <c r="AR631" s="10"/>
      <c r="AS631" s="10"/>
      <c r="AT631" s="10"/>
      <c r="AU631" s="10"/>
      <c r="AV631" s="10"/>
      <c r="AW631" s="10"/>
      <c r="AX631" s="10"/>
      <c r="AY631" s="10"/>
      <c r="AZ631" s="10"/>
      <c r="BA631" s="10"/>
      <c r="BB631" s="10"/>
    </row>
    <row r="632" spans="28:54" s="12" customFormat="1" x14ac:dyDescent="0.25">
      <c r="AB632" s="10"/>
      <c r="AC632" s="10"/>
      <c r="AD632" s="10"/>
      <c r="AE632" s="10"/>
      <c r="AF632" s="10"/>
      <c r="AG632" s="10"/>
      <c r="AH632" s="10"/>
      <c r="AI632" s="10"/>
      <c r="AJ632" s="10"/>
      <c r="AK632" s="10"/>
      <c r="AL632" s="10"/>
      <c r="AM632" s="10"/>
      <c r="AN632" s="10"/>
      <c r="AO632" s="10"/>
      <c r="AP632" s="10"/>
      <c r="AQ632" s="10"/>
      <c r="AR632" s="10"/>
      <c r="AS632" s="10"/>
      <c r="AT632" s="10"/>
      <c r="AU632" s="10"/>
      <c r="AV632" s="10"/>
      <c r="AW632" s="10"/>
      <c r="AX632" s="10"/>
      <c r="AY632" s="10"/>
      <c r="AZ632" s="10"/>
      <c r="BA632" s="10"/>
      <c r="BB632" s="10"/>
    </row>
    <row r="633" spans="28:54" s="12" customFormat="1" x14ac:dyDescent="0.25">
      <c r="AB633" s="10"/>
      <c r="AC633" s="10"/>
      <c r="AD633" s="10"/>
      <c r="AE633" s="10"/>
      <c r="AF633" s="10"/>
      <c r="AG633" s="10"/>
      <c r="AH633" s="10"/>
      <c r="AI633" s="10"/>
      <c r="AJ633" s="10"/>
      <c r="AK633" s="10"/>
      <c r="AL633" s="10"/>
      <c r="AM633" s="10"/>
      <c r="AN633" s="10"/>
      <c r="AO633" s="10"/>
      <c r="AP633" s="10"/>
      <c r="AQ633" s="10"/>
      <c r="AR633" s="10"/>
      <c r="AS633" s="10"/>
      <c r="AT633" s="10"/>
      <c r="AU633" s="10"/>
      <c r="AV633" s="10"/>
      <c r="AW633" s="10"/>
      <c r="AX633" s="10"/>
      <c r="AY633" s="10"/>
      <c r="AZ633" s="10"/>
      <c r="BA633" s="10"/>
      <c r="BB633" s="10"/>
    </row>
    <row r="634" spans="28:54" s="12" customFormat="1" x14ac:dyDescent="0.25">
      <c r="AB634" s="10"/>
      <c r="AC634" s="10"/>
      <c r="AD634" s="10"/>
      <c r="AE634" s="10"/>
      <c r="AF634" s="10"/>
      <c r="AG634" s="10"/>
      <c r="AH634" s="10"/>
      <c r="AI634" s="10"/>
      <c r="AJ634" s="10"/>
      <c r="AK634" s="10"/>
      <c r="AL634" s="10"/>
      <c r="AM634" s="10"/>
      <c r="AN634" s="10"/>
      <c r="AO634" s="10"/>
      <c r="AP634" s="10"/>
      <c r="AQ634" s="10"/>
      <c r="AR634" s="10"/>
      <c r="AS634" s="10"/>
      <c r="AT634" s="10"/>
      <c r="AU634" s="10"/>
      <c r="AV634" s="10"/>
      <c r="AW634" s="10"/>
      <c r="AX634" s="10"/>
      <c r="AY634" s="10"/>
      <c r="AZ634" s="10"/>
      <c r="BA634" s="10"/>
      <c r="BB634" s="10"/>
    </row>
    <row r="635" spans="28:54" s="12" customFormat="1" x14ac:dyDescent="0.25">
      <c r="AB635" s="10"/>
      <c r="AC635" s="10"/>
      <c r="AD635" s="10"/>
      <c r="AE635" s="10"/>
      <c r="AF635" s="10"/>
      <c r="AG635" s="10"/>
      <c r="AH635" s="10"/>
      <c r="AI635" s="10"/>
      <c r="AJ635" s="10"/>
      <c r="AK635" s="10"/>
      <c r="AL635" s="10"/>
      <c r="AM635" s="10"/>
      <c r="AN635" s="10"/>
      <c r="AO635" s="10"/>
      <c r="AP635" s="10"/>
      <c r="AQ635" s="10"/>
      <c r="AR635" s="10"/>
      <c r="AS635" s="10"/>
      <c r="AT635" s="10"/>
      <c r="AU635" s="10"/>
      <c r="AV635" s="10"/>
      <c r="AW635" s="10"/>
      <c r="AX635" s="10"/>
      <c r="AY635" s="10"/>
      <c r="AZ635" s="10"/>
      <c r="BA635" s="10"/>
      <c r="BB635" s="10"/>
    </row>
    <row r="636" spans="28:54" s="12" customFormat="1" x14ac:dyDescent="0.25">
      <c r="AB636" s="10"/>
      <c r="AC636" s="10"/>
      <c r="AD636" s="10"/>
      <c r="AE636" s="10"/>
      <c r="AF636" s="10"/>
      <c r="AG636" s="10"/>
      <c r="AH636" s="10"/>
      <c r="AI636" s="10"/>
      <c r="AJ636" s="10"/>
      <c r="AK636" s="10"/>
      <c r="AL636" s="10"/>
      <c r="AM636" s="10"/>
      <c r="AN636" s="10"/>
      <c r="AO636" s="10"/>
      <c r="AP636" s="10"/>
      <c r="AQ636" s="10"/>
      <c r="AR636" s="10"/>
      <c r="AS636" s="10"/>
      <c r="AT636" s="10"/>
      <c r="AU636" s="10"/>
      <c r="AV636" s="10"/>
      <c r="AW636" s="10"/>
      <c r="AX636" s="10"/>
      <c r="AY636" s="10"/>
      <c r="AZ636" s="10"/>
      <c r="BA636" s="10"/>
      <c r="BB636" s="10"/>
    </row>
    <row r="637" spans="28:54" s="12" customFormat="1" x14ac:dyDescent="0.25">
      <c r="AB637" s="10"/>
      <c r="AC637" s="10"/>
      <c r="AD637" s="10"/>
      <c r="AE637" s="10"/>
      <c r="AF637" s="10"/>
      <c r="AG637" s="10"/>
      <c r="AH637" s="10"/>
      <c r="AI637" s="10"/>
      <c r="AJ637" s="10"/>
      <c r="AK637" s="10"/>
      <c r="AL637" s="10"/>
      <c r="AM637" s="10"/>
      <c r="AN637" s="10"/>
      <c r="AO637" s="10"/>
      <c r="AP637" s="10"/>
      <c r="AQ637" s="10"/>
      <c r="AR637" s="10"/>
      <c r="AS637" s="10"/>
      <c r="AT637" s="10"/>
      <c r="AU637" s="10"/>
      <c r="AV637" s="10"/>
      <c r="AW637" s="10"/>
      <c r="AX637" s="10"/>
      <c r="AY637" s="10"/>
      <c r="AZ637" s="10"/>
      <c r="BA637" s="10"/>
      <c r="BB637" s="10"/>
    </row>
    <row r="638" spans="28:54" s="12" customFormat="1" x14ac:dyDescent="0.25">
      <c r="AB638" s="10"/>
      <c r="AC638" s="10"/>
      <c r="AD638" s="10"/>
      <c r="AE638" s="10"/>
      <c r="AF638" s="10"/>
      <c r="AG638" s="10"/>
      <c r="AH638" s="10"/>
      <c r="AI638" s="10"/>
      <c r="AJ638" s="10"/>
      <c r="AK638" s="10"/>
      <c r="AL638" s="10"/>
      <c r="AM638" s="10"/>
      <c r="AN638" s="10"/>
      <c r="AO638" s="10"/>
      <c r="AP638" s="10"/>
      <c r="AQ638" s="10"/>
      <c r="AR638" s="10"/>
      <c r="AS638" s="10"/>
      <c r="AT638" s="10"/>
      <c r="AU638" s="10"/>
      <c r="AV638" s="10"/>
      <c r="AW638" s="10"/>
      <c r="AX638" s="10"/>
      <c r="AY638" s="10"/>
      <c r="AZ638" s="10"/>
      <c r="BA638" s="10"/>
      <c r="BB638" s="10"/>
    </row>
    <row r="639" spans="28:54" s="12" customFormat="1" x14ac:dyDescent="0.25">
      <c r="AB639" s="10"/>
      <c r="AC639" s="10"/>
      <c r="AD639" s="10"/>
      <c r="AE639" s="10"/>
      <c r="AF639" s="10"/>
      <c r="AG639" s="10"/>
      <c r="AH639" s="10"/>
      <c r="AI639" s="10"/>
      <c r="AJ639" s="10"/>
      <c r="AK639" s="10"/>
      <c r="AL639" s="10"/>
      <c r="AM639" s="10"/>
      <c r="AN639" s="10"/>
      <c r="AO639" s="10"/>
      <c r="AP639" s="10"/>
      <c r="AQ639" s="10"/>
      <c r="AR639" s="10"/>
      <c r="AS639" s="10"/>
      <c r="AT639" s="10"/>
      <c r="AU639" s="10"/>
      <c r="AV639" s="10"/>
      <c r="AW639" s="10"/>
      <c r="AX639" s="10"/>
      <c r="AY639" s="10"/>
      <c r="AZ639" s="10"/>
      <c r="BA639" s="10"/>
      <c r="BB639" s="10"/>
    </row>
    <row r="640" spans="28:54" s="12" customFormat="1" x14ac:dyDescent="0.25">
      <c r="AB640" s="10"/>
      <c r="AC640" s="10"/>
      <c r="AD640" s="10"/>
      <c r="AE640" s="10"/>
      <c r="AF640" s="10"/>
      <c r="AG640" s="10"/>
      <c r="AH640" s="10"/>
      <c r="AI640" s="10"/>
      <c r="AJ640" s="10"/>
      <c r="AK640" s="10"/>
      <c r="AL640" s="10"/>
      <c r="AM640" s="10"/>
      <c r="AN640" s="10"/>
      <c r="AO640" s="10"/>
      <c r="AP640" s="10"/>
      <c r="AQ640" s="10"/>
      <c r="AR640" s="10"/>
      <c r="AS640" s="10"/>
      <c r="AT640" s="10"/>
      <c r="AU640" s="10"/>
      <c r="AV640" s="10"/>
      <c r="AW640" s="10"/>
      <c r="AX640" s="10"/>
      <c r="AY640" s="10"/>
      <c r="AZ640" s="10"/>
      <c r="BA640" s="10"/>
      <c r="BB640" s="10"/>
    </row>
    <row r="641" spans="28:54" s="12" customFormat="1" x14ac:dyDescent="0.25">
      <c r="AB641" s="10"/>
      <c r="AC641" s="10"/>
      <c r="AD641" s="10"/>
      <c r="AE641" s="10"/>
      <c r="AF641" s="10"/>
      <c r="AG641" s="10"/>
      <c r="AH641" s="10"/>
      <c r="AI641" s="10"/>
      <c r="AJ641" s="10"/>
      <c r="AK641" s="10"/>
      <c r="AL641" s="10"/>
      <c r="AM641" s="10"/>
      <c r="AN641" s="10"/>
      <c r="AO641" s="10"/>
      <c r="AP641" s="10"/>
      <c r="AQ641" s="10"/>
      <c r="AR641" s="10"/>
      <c r="AS641" s="10"/>
      <c r="AT641" s="10"/>
      <c r="AU641" s="10"/>
      <c r="AV641" s="10"/>
      <c r="AW641" s="10"/>
      <c r="AX641" s="10"/>
      <c r="AY641" s="10"/>
      <c r="AZ641" s="10"/>
      <c r="BA641" s="10"/>
      <c r="BB641" s="10"/>
    </row>
    <row r="642" spans="28:54" s="12" customFormat="1" x14ac:dyDescent="0.25">
      <c r="AB642" s="10"/>
      <c r="AC642" s="10"/>
      <c r="AD642" s="10"/>
      <c r="AE642" s="10"/>
      <c r="AF642" s="10"/>
      <c r="AG642" s="10"/>
      <c r="AH642" s="10"/>
      <c r="AI642" s="10"/>
      <c r="AJ642" s="10"/>
      <c r="AK642" s="10"/>
      <c r="AL642" s="10"/>
      <c r="AM642" s="10"/>
      <c r="AN642" s="10"/>
      <c r="AO642" s="10"/>
      <c r="AP642" s="10"/>
      <c r="AQ642" s="10"/>
      <c r="AR642" s="10"/>
      <c r="AS642" s="10"/>
      <c r="AT642" s="10"/>
      <c r="AU642" s="10"/>
      <c r="AV642" s="10"/>
      <c r="AW642" s="10"/>
      <c r="AX642" s="10"/>
      <c r="AY642" s="10"/>
      <c r="AZ642" s="10"/>
      <c r="BA642" s="10"/>
      <c r="BB642" s="10"/>
    </row>
    <row r="643" spans="28:54" s="12" customFormat="1" x14ac:dyDescent="0.25">
      <c r="AB643" s="10"/>
      <c r="AC643" s="10"/>
      <c r="AD643" s="10"/>
      <c r="AE643" s="10"/>
      <c r="AF643" s="10"/>
      <c r="AG643" s="10"/>
      <c r="AH643" s="10"/>
      <c r="AI643" s="10"/>
      <c r="AJ643" s="10"/>
      <c r="AK643" s="10"/>
      <c r="AL643" s="10"/>
      <c r="AM643" s="10"/>
      <c r="AN643" s="10"/>
      <c r="AO643" s="10"/>
      <c r="AP643" s="10"/>
      <c r="AQ643" s="10"/>
      <c r="AR643" s="10"/>
      <c r="AS643" s="10"/>
      <c r="AT643" s="10"/>
      <c r="AU643" s="10"/>
      <c r="AV643" s="10"/>
      <c r="AW643" s="10"/>
      <c r="AX643" s="10"/>
      <c r="AY643" s="10"/>
      <c r="AZ643" s="10"/>
      <c r="BA643" s="10"/>
      <c r="BB643" s="10"/>
    </row>
    <row r="644" spans="28:54" s="12" customFormat="1" x14ac:dyDescent="0.25">
      <c r="AB644" s="10"/>
      <c r="AC644" s="10"/>
      <c r="AD644" s="10"/>
      <c r="AE644" s="10"/>
      <c r="AF644" s="10"/>
      <c r="AG644" s="10"/>
      <c r="AH644" s="10"/>
      <c r="AI644" s="10"/>
      <c r="AJ644" s="10"/>
      <c r="AK644" s="10"/>
      <c r="AL644" s="10"/>
      <c r="AM644" s="10"/>
      <c r="AN644" s="10"/>
      <c r="AO644" s="10"/>
      <c r="AP644" s="10"/>
      <c r="AQ644" s="10"/>
      <c r="AR644" s="10"/>
      <c r="AS644" s="10"/>
      <c r="AT644" s="10"/>
      <c r="AU644" s="10"/>
      <c r="AV644" s="10"/>
      <c r="AW644" s="10"/>
      <c r="AX644" s="10"/>
      <c r="AY644" s="10"/>
      <c r="AZ644" s="10"/>
      <c r="BA644" s="10"/>
      <c r="BB644" s="10"/>
    </row>
    <row r="645" spans="28:54" s="12" customFormat="1" x14ac:dyDescent="0.25">
      <c r="AB645" s="10"/>
      <c r="AC645" s="10"/>
      <c r="AD645" s="10"/>
      <c r="AE645" s="10"/>
      <c r="AF645" s="10"/>
      <c r="AG645" s="10"/>
      <c r="AH645" s="10"/>
      <c r="AI645" s="10"/>
      <c r="AJ645" s="10"/>
      <c r="AK645" s="10"/>
      <c r="AL645" s="10"/>
      <c r="AM645" s="10"/>
      <c r="AN645" s="10"/>
      <c r="AO645" s="10"/>
      <c r="AP645" s="10"/>
      <c r="AQ645" s="10"/>
      <c r="AR645" s="10"/>
      <c r="AS645" s="10"/>
      <c r="AT645" s="10"/>
      <c r="AU645" s="10"/>
      <c r="AV645" s="10"/>
      <c r="AW645" s="10"/>
      <c r="AX645" s="10"/>
      <c r="AY645" s="10"/>
      <c r="AZ645" s="10"/>
      <c r="BA645" s="10"/>
      <c r="BB645" s="10"/>
    </row>
    <row r="646" spans="28:54" s="12" customFormat="1" x14ac:dyDescent="0.25">
      <c r="AB646" s="10"/>
      <c r="AC646" s="10"/>
      <c r="AD646" s="10"/>
      <c r="AE646" s="10"/>
      <c r="AF646" s="10"/>
      <c r="AG646" s="10"/>
      <c r="AH646" s="10"/>
      <c r="AI646" s="10"/>
      <c r="AJ646" s="10"/>
      <c r="AK646" s="10"/>
      <c r="AL646" s="10"/>
      <c r="AM646" s="10"/>
      <c r="AN646" s="10"/>
      <c r="AO646" s="10"/>
      <c r="AP646" s="10"/>
      <c r="AQ646" s="10"/>
      <c r="AR646" s="10"/>
      <c r="AS646" s="10"/>
      <c r="AT646" s="10"/>
      <c r="AU646" s="10"/>
      <c r="AV646" s="10"/>
      <c r="AW646" s="10"/>
      <c r="AX646" s="10"/>
      <c r="AY646" s="10"/>
      <c r="AZ646" s="10"/>
      <c r="BA646" s="10"/>
      <c r="BB646" s="10"/>
    </row>
    <row r="647" spans="28:54" s="12" customFormat="1" x14ac:dyDescent="0.25">
      <c r="AB647" s="10"/>
      <c r="AC647" s="10"/>
      <c r="AD647" s="10"/>
      <c r="AE647" s="10"/>
      <c r="AF647" s="10"/>
      <c r="AG647" s="10"/>
      <c r="AH647" s="10"/>
      <c r="AI647" s="10"/>
      <c r="AJ647" s="10"/>
      <c r="AK647" s="10"/>
      <c r="AL647" s="10"/>
      <c r="AM647" s="10"/>
      <c r="AN647" s="10"/>
      <c r="AO647" s="10"/>
      <c r="AP647" s="10"/>
      <c r="AQ647" s="10"/>
      <c r="AR647" s="10"/>
      <c r="AS647" s="10"/>
      <c r="AT647" s="10"/>
      <c r="AU647" s="10"/>
      <c r="AV647" s="10"/>
      <c r="AW647" s="10"/>
      <c r="AX647" s="10"/>
      <c r="AY647" s="10"/>
      <c r="AZ647" s="10"/>
      <c r="BA647" s="10"/>
      <c r="BB647" s="10"/>
    </row>
    <row r="648" spans="28:54" s="12" customFormat="1" x14ac:dyDescent="0.25">
      <c r="AB648" s="10"/>
      <c r="AC648" s="10"/>
      <c r="AD648" s="10"/>
      <c r="AE648" s="10"/>
      <c r="AF648" s="10"/>
      <c r="AG648" s="10"/>
      <c r="AH648" s="10"/>
      <c r="AI648" s="10"/>
      <c r="AJ648" s="10"/>
      <c r="AK648" s="10"/>
      <c r="AL648" s="10"/>
      <c r="AM648" s="10"/>
      <c r="AN648" s="10"/>
      <c r="AO648" s="10"/>
      <c r="AP648" s="10"/>
      <c r="AQ648" s="10"/>
      <c r="AR648" s="10"/>
      <c r="AS648" s="10"/>
      <c r="AT648" s="10"/>
      <c r="AU648" s="10"/>
      <c r="AV648" s="10"/>
      <c r="AW648" s="10"/>
      <c r="AX648" s="10"/>
      <c r="AY648" s="10"/>
      <c r="AZ648" s="10"/>
      <c r="BA648" s="10"/>
      <c r="BB648" s="10"/>
    </row>
    <row r="649" spans="28:54" s="12" customFormat="1" x14ac:dyDescent="0.25">
      <c r="AB649" s="10"/>
      <c r="AC649" s="10"/>
      <c r="AD649" s="10"/>
      <c r="AE649" s="10"/>
      <c r="AF649" s="10"/>
      <c r="AG649" s="10"/>
      <c r="AH649" s="10"/>
      <c r="AI649" s="10"/>
      <c r="AJ649" s="10"/>
      <c r="AK649" s="10"/>
      <c r="AL649" s="10"/>
      <c r="AM649" s="10"/>
      <c r="AN649" s="10"/>
      <c r="AO649" s="10"/>
      <c r="AP649" s="10"/>
      <c r="AQ649" s="10"/>
      <c r="AR649" s="10"/>
      <c r="AS649" s="10"/>
      <c r="AT649" s="10"/>
      <c r="AU649" s="10"/>
      <c r="AV649" s="10"/>
      <c r="AW649" s="10"/>
      <c r="AX649" s="10"/>
      <c r="AY649" s="10"/>
      <c r="AZ649" s="10"/>
      <c r="BA649" s="10"/>
      <c r="BB649" s="10"/>
    </row>
    <row r="650" spans="28:54" s="12" customFormat="1" x14ac:dyDescent="0.25">
      <c r="AB650" s="10"/>
      <c r="AC650" s="10"/>
      <c r="AD650" s="10"/>
      <c r="AE650" s="10"/>
      <c r="AF650" s="10"/>
      <c r="AG650" s="10"/>
      <c r="AH650" s="10"/>
      <c r="AI650" s="10"/>
      <c r="AJ650" s="10"/>
      <c r="AK650" s="10"/>
      <c r="AL650" s="10"/>
      <c r="AM650" s="10"/>
      <c r="AN650" s="10"/>
      <c r="AO650" s="10"/>
      <c r="AP650" s="10"/>
      <c r="AQ650" s="10"/>
      <c r="AR650" s="10"/>
      <c r="AS650" s="10"/>
      <c r="AT650" s="10"/>
      <c r="AU650" s="10"/>
      <c r="AV650" s="10"/>
      <c r="AW650" s="10"/>
      <c r="AX650" s="10"/>
      <c r="AY650" s="10"/>
      <c r="AZ650" s="10"/>
      <c r="BA650" s="10"/>
      <c r="BB650" s="10"/>
    </row>
    <row r="651" spans="28:54" s="12" customFormat="1" x14ac:dyDescent="0.25">
      <c r="AB651" s="10"/>
      <c r="AC651" s="10"/>
      <c r="AD651" s="10"/>
      <c r="AE651" s="10"/>
      <c r="AF651" s="10"/>
      <c r="AG651" s="10"/>
      <c r="AH651" s="10"/>
      <c r="AI651" s="10"/>
      <c r="AJ651" s="10"/>
      <c r="AK651" s="10"/>
      <c r="AL651" s="10"/>
      <c r="AM651" s="10"/>
      <c r="AN651" s="10"/>
      <c r="AO651" s="10"/>
      <c r="AP651" s="10"/>
      <c r="AQ651" s="10"/>
      <c r="AR651" s="10"/>
      <c r="AS651" s="10"/>
      <c r="AT651" s="10"/>
      <c r="AU651" s="10"/>
      <c r="AV651" s="10"/>
      <c r="AW651" s="10"/>
      <c r="AX651" s="10"/>
      <c r="AY651" s="10"/>
      <c r="AZ651" s="10"/>
      <c r="BA651" s="10"/>
      <c r="BB651" s="10"/>
    </row>
    <row r="652" spans="28:54" s="12" customFormat="1" x14ac:dyDescent="0.25">
      <c r="AB652" s="10"/>
      <c r="AC652" s="10"/>
      <c r="AD652" s="10"/>
      <c r="AE652" s="10"/>
      <c r="AF652" s="10"/>
      <c r="AG652" s="10"/>
      <c r="AH652" s="10"/>
      <c r="AI652" s="10"/>
      <c r="AJ652" s="10"/>
      <c r="AK652" s="10"/>
      <c r="AL652" s="10"/>
      <c r="AM652" s="10"/>
      <c r="AN652" s="10"/>
      <c r="AO652" s="10"/>
      <c r="AP652" s="10"/>
      <c r="AQ652" s="10"/>
      <c r="AR652" s="10"/>
      <c r="AS652" s="10"/>
      <c r="AT652" s="10"/>
      <c r="AU652" s="10"/>
      <c r="AV652" s="10"/>
      <c r="AW652" s="10"/>
      <c r="AX652" s="10"/>
      <c r="AY652" s="10"/>
      <c r="AZ652" s="10"/>
      <c r="BA652" s="10"/>
      <c r="BB652" s="10"/>
    </row>
    <row r="653" spans="28:54" s="12" customFormat="1" x14ac:dyDescent="0.25">
      <c r="AB653" s="10"/>
      <c r="AC653" s="10"/>
      <c r="AD653" s="10"/>
      <c r="AE653" s="10"/>
      <c r="AF653" s="10"/>
      <c r="AG653" s="10"/>
      <c r="AH653" s="10"/>
      <c r="AI653" s="10"/>
      <c r="AJ653" s="10"/>
      <c r="AK653" s="10"/>
      <c r="AL653" s="10"/>
      <c r="AM653" s="10"/>
      <c r="AN653" s="10"/>
      <c r="AO653" s="10"/>
      <c r="AP653" s="10"/>
      <c r="AQ653" s="10"/>
      <c r="AR653" s="10"/>
      <c r="AS653" s="10"/>
      <c r="AT653" s="10"/>
      <c r="AU653" s="10"/>
      <c r="AV653" s="10"/>
      <c r="AW653" s="10"/>
      <c r="AX653" s="10"/>
      <c r="AY653" s="10"/>
      <c r="AZ653" s="10"/>
      <c r="BA653" s="10"/>
      <c r="BB653" s="10"/>
    </row>
    <row r="654" spans="28:54" s="12" customFormat="1" x14ac:dyDescent="0.25">
      <c r="AB654" s="10"/>
      <c r="AC654" s="10"/>
      <c r="AD654" s="10"/>
      <c r="AE654" s="10"/>
      <c r="AF654" s="10"/>
      <c r="AG654" s="10"/>
      <c r="AH654" s="10"/>
      <c r="AI654" s="10"/>
      <c r="AJ654" s="10"/>
      <c r="AK654" s="10"/>
      <c r="AL654" s="10"/>
      <c r="AM654" s="10"/>
      <c r="AN654" s="10"/>
      <c r="AO654" s="10"/>
      <c r="AP654" s="10"/>
      <c r="AQ654" s="10"/>
      <c r="AR654" s="10"/>
      <c r="AS654" s="10"/>
      <c r="AT654" s="10"/>
      <c r="AU654" s="10"/>
      <c r="AV654" s="10"/>
      <c r="AW654" s="10"/>
      <c r="AX654" s="10"/>
      <c r="AY654" s="10"/>
      <c r="AZ654" s="10"/>
      <c r="BA654" s="10"/>
      <c r="BB654" s="10"/>
    </row>
    <row r="655" spans="28:54" s="12" customFormat="1" x14ac:dyDescent="0.25">
      <c r="AB655" s="10"/>
      <c r="AC655" s="10"/>
      <c r="AD655" s="10"/>
      <c r="AE655" s="10"/>
      <c r="AF655" s="10"/>
      <c r="AG655" s="10"/>
      <c r="AH655" s="10"/>
      <c r="AI655" s="10"/>
      <c r="AJ655" s="10"/>
      <c r="AK655" s="10"/>
      <c r="AL655" s="10"/>
      <c r="AM655" s="10"/>
      <c r="AN655" s="10"/>
      <c r="AO655" s="10"/>
      <c r="AP655" s="10"/>
      <c r="AQ655" s="10"/>
      <c r="AR655" s="10"/>
      <c r="AS655" s="10"/>
      <c r="AT655" s="10"/>
      <c r="AU655" s="10"/>
      <c r="AV655" s="10"/>
      <c r="AW655" s="10"/>
      <c r="AX655" s="10"/>
      <c r="AY655" s="10"/>
      <c r="AZ655" s="10"/>
      <c r="BA655" s="10"/>
      <c r="BB655" s="10"/>
    </row>
    <row r="656" spans="28:54" s="12" customFormat="1" x14ac:dyDescent="0.25">
      <c r="AB656" s="10"/>
      <c r="AC656" s="10"/>
      <c r="AD656" s="10"/>
      <c r="AE656" s="10"/>
      <c r="AF656" s="10"/>
      <c r="AG656" s="10"/>
      <c r="AH656" s="10"/>
      <c r="AI656" s="10"/>
      <c r="AJ656" s="10"/>
      <c r="AK656" s="10"/>
      <c r="AL656" s="10"/>
      <c r="AM656" s="10"/>
      <c r="AN656" s="10"/>
      <c r="AO656" s="10"/>
      <c r="AP656" s="10"/>
      <c r="AQ656" s="10"/>
      <c r="AR656" s="10"/>
      <c r="AS656" s="10"/>
      <c r="AT656" s="10"/>
      <c r="AU656" s="10"/>
      <c r="AV656" s="10"/>
      <c r="AW656" s="10"/>
      <c r="AX656" s="10"/>
      <c r="AY656" s="10"/>
      <c r="AZ656" s="10"/>
      <c r="BA656" s="10"/>
      <c r="BB656" s="10"/>
    </row>
    <row r="657" spans="28:54" s="12" customFormat="1" x14ac:dyDescent="0.25">
      <c r="AB657" s="10"/>
      <c r="AC657" s="10"/>
      <c r="AD657" s="10"/>
      <c r="AE657" s="10"/>
      <c r="AF657" s="10"/>
      <c r="AG657" s="10"/>
      <c r="AH657" s="10"/>
      <c r="AI657" s="10"/>
      <c r="AJ657" s="10"/>
      <c r="AK657" s="10"/>
      <c r="AL657" s="10"/>
      <c r="AM657" s="10"/>
      <c r="AN657" s="10"/>
      <c r="AO657" s="10"/>
      <c r="AP657" s="10"/>
      <c r="AQ657" s="10"/>
      <c r="AR657" s="10"/>
      <c r="AS657" s="10"/>
      <c r="AT657" s="10"/>
      <c r="AU657" s="10"/>
      <c r="AV657" s="10"/>
      <c r="AW657" s="10"/>
      <c r="AX657" s="10"/>
      <c r="AY657" s="10"/>
      <c r="AZ657" s="10"/>
      <c r="BA657" s="10"/>
      <c r="BB657" s="10"/>
    </row>
    <row r="658" spans="28:54" s="12" customFormat="1" x14ac:dyDescent="0.25">
      <c r="AB658" s="10"/>
      <c r="AC658" s="10"/>
      <c r="AD658" s="10"/>
      <c r="AE658" s="10"/>
      <c r="AF658" s="10"/>
      <c r="AG658" s="10"/>
      <c r="AH658" s="10"/>
      <c r="AI658" s="10"/>
      <c r="AJ658" s="10"/>
      <c r="AK658" s="10"/>
      <c r="AL658" s="10"/>
      <c r="AM658" s="10"/>
      <c r="AN658" s="10"/>
      <c r="AO658" s="10"/>
      <c r="AP658" s="10"/>
      <c r="AQ658" s="10"/>
      <c r="AR658" s="10"/>
      <c r="AS658" s="10"/>
      <c r="AT658" s="10"/>
      <c r="AU658" s="10"/>
      <c r="AV658" s="10"/>
      <c r="AW658" s="10"/>
      <c r="AX658" s="10"/>
      <c r="AY658" s="10"/>
      <c r="AZ658" s="10"/>
      <c r="BA658" s="10"/>
      <c r="BB658" s="10"/>
    </row>
    <row r="659" spans="28:54" s="12" customFormat="1" x14ac:dyDescent="0.25">
      <c r="AB659" s="10"/>
      <c r="AC659" s="10"/>
      <c r="AD659" s="10"/>
      <c r="AE659" s="10"/>
      <c r="AF659" s="10"/>
      <c r="AG659" s="10"/>
      <c r="AH659" s="10"/>
      <c r="AI659" s="10"/>
      <c r="AJ659" s="10"/>
      <c r="AK659" s="10"/>
      <c r="AL659" s="10"/>
      <c r="AM659" s="10"/>
      <c r="AN659" s="10"/>
      <c r="AO659" s="10"/>
      <c r="AP659" s="10"/>
      <c r="AQ659" s="10"/>
      <c r="AR659" s="10"/>
      <c r="AS659" s="10"/>
      <c r="AT659" s="10"/>
      <c r="AU659" s="10"/>
      <c r="AV659" s="10"/>
      <c r="AW659" s="10"/>
      <c r="AX659" s="10"/>
      <c r="AY659" s="10"/>
      <c r="AZ659" s="10"/>
      <c r="BA659" s="10"/>
      <c r="BB659" s="10"/>
    </row>
    <row r="660" spans="28:54" s="12" customFormat="1" x14ac:dyDescent="0.25">
      <c r="AB660" s="10"/>
      <c r="AC660" s="10"/>
      <c r="AD660" s="10"/>
      <c r="AE660" s="10"/>
      <c r="AF660" s="10"/>
      <c r="AG660" s="10"/>
      <c r="AH660" s="10"/>
      <c r="AI660" s="10"/>
      <c r="AJ660" s="10"/>
      <c r="AK660" s="10"/>
      <c r="AL660" s="10"/>
      <c r="AM660" s="10"/>
      <c r="AN660" s="10"/>
      <c r="AO660" s="10"/>
      <c r="AP660" s="10"/>
      <c r="AQ660" s="10"/>
      <c r="AR660" s="10"/>
      <c r="AS660" s="10"/>
      <c r="AT660" s="10"/>
      <c r="AU660" s="10"/>
      <c r="AV660" s="10"/>
      <c r="AW660" s="10"/>
      <c r="AX660" s="10"/>
      <c r="AY660" s="10"/>
      <c r="AZ660" s="10"/>
      <c r="BA660" s="10"/>
      <c r="BB660" s="10"/>
    </row>
    <row r="661" spans="28:54" s="12" customFormat="1" x14ac:dyDescent="0.25">
      <c r="AB661" s="10"/>
      <c r="AC661" s="10"/>
      <c r="AD661" s="10"/>
      <c r="AE661" s="10"/>
      <c r="AF661" s="10"/>
      <c r="AG661" s="10"/>
      <c r="AH661" s="10"/>
      <c r="AI661" s="10"/>
      <c r="AJ661" s="10"/>
      <c r="AK661" s="10"/>
      <c r="AL661" s="10"/>
      <c r="AM661" s="10"/>
      <c r="AN661" s="10"/>
      <c r="AO661" s="10"/>
      <c r="AP661" s="10"/>
      <c r="AQ661" s="10"/>
      <c r="AR661" s="10"/>
      <c r="AS661" s="10"/>
      <c r="AT661" s="10"/>
      <c r="AU661" s="10"/>
      <c r="AV661" s="10"/>
      <c r="AW661" s="10"/>
      <c r="AX661" s="10"/>
      <c r="AY661" s="10"/>
      <c r="AZ661" s="10"/>
      <c r="BA661" s="10"/>
      <c r="BB661" s="10"/>
    </row>
    <row r="662" spans="28:54" s="12" customFormat="1" x14ac:dyDescent="0.25">
      <c r="AB662" s="10"/>
      <c r="AC662" s="10"/>
      <c r="AD662" s="10"/>
      <c r="AE662" s="10"/>
      <c r="AF662" s="10"/>
      <c r="AG662" s="10"/>
      <c r="AH662" s="10"/>
      <c r="AI662" s="10"/>
      <c r="AJ662" s="10"/>
      <c r="AK662" s="10"/>
      <c r="AL662" s="10"/>
      <c r="AM662" s="10"/>
      <c r="AN662" s="10"/>
      <c r="AO662" s="10"/>
      <c r="AP662" s="10"/>
      <c r="AQ662" s="10"/>
      <c r="AR662" s="10"/>
      <c r="AS662" s="10"/>
      <c r="AT662" s="10"/>
      <c r="AU662" s="10"/>
      <c r="AV662" s="10"/>
      <c r="AW662" s="10"/>
      <c r="AX662" s="10"/>
      <c r="AY662" s="10"/>
      <c r="AZ662" s="10"/>
      <c r="BA662" s="10"/>
      <c r="BB662" s="10"/>
    </row>
    <row r="663" spans="28:54" s="12" customFormat="1" x14ac:dyDescent="0.25">
      <c r="AB663" s="10"/>
      <c r="AC663" s="10"/>
      <c r="AD663" s="10"/>
      <c r="AE663" s="10"/>
      <c r="AF663" s="10"/>
      <c r="AG663" s="10"/>
      <c r="AH663" s="10"/>
      <c r="AI663" s="10"/>
      <c r="AJ663" s="10"/>
      <c r="AK663" s="10"/>
      <c r="AL663" s="10"/>
      <c r="AM663" s="10"/>
      <c r="AN663" s="10"/>
      <c r="AO663" s="10"/>
      <c r="AP663" s="10"/>
      <c r="AQ663" s="10"/>
      <c r="AR663" s="10"/>
      <c r="AS663" s="10"/>
      <c r="AT663" s="10"/>
      <c r="AU663" s="10"/>
      <c r="AV663" s="10"/>
      <c r="AW663" s="10"/>
      <c r="AX663" s="10"/>
      <c r="AY663" s="10"/>
      <c r="AZ663" s="10"/>
      <c r="BA663" s="10"/>
      <c r="BB663" s="10"/>
    </row>
    <row r="664" spans="28:54" s="12" customFormat="1" x14ac:dyDescent="0.25">
      <c r="AB664" s="10"/>
      <c r="AC664" s="10"/>
      <c r="AD664" s="10"/>
      <c r="AE664" s="10"/>
      <c r="AF664" s="10"/>
      <c r="AG664" s="10"/>
      <c r="AH664" s="10"/>
      <c r="AI664" s="10"/>
      <c r="AJ664" s="10"/>
      <c r="AK664" s="10"/>
      <c r="AL664" s="10"/>
      <c r="AM664" s="10"/>
      <c r="AN664" s="10"/>
      <c r="AO664" s="10"/>
      <c r="AP664" s="10"/>
      <c r="AQ664" s="10"/>
      <c r="AR664" s="10"/>
      <c r="AS664" s="10"/>
      <c r="AT664" s="10"/>
      <c r="AU664" s="10"/>
      <c r="AV664" s="10"/>
      <c r="AW664" s="10"/>
      <c r="AX664" s="10"/>
      <c r="AY664" s="10"/>
      <c r="AZ664" s="10"/>
      <c r="BA664" s="10"/>
      <c r="BB664" s="10"/>
    </row>
    <row r="665" spans="28:54" s="12" customFormat="1" x14ac:dyDescent="0.25">
      <c r="AB665" s="10"/>
      <c r="AC665" s="10"/>
      <c r="AD665" s="10"/>
      <c r="AE665" s="10"/>
      <c r="AF665" s="10"/>
      <c r="AG665" s="10"/>
      <c r="AH665" s="10"/>
      <c r="AI665" s="10"/>
      <c r="AJ665" s="10"/>
      <c r="AK665" s="10"/>
      <c r="AL665" s="10"/>
      <c r="AM665" s="10"/>
      <c r="AN665" s="10"/>
      <c r="AO665" s="10"/>
      <c r="AP665" s="10"/>
      <c r="AQ665" s="10"/>
      <c r="AR665" s="10"/>
      <c r="AS665" s="10"/>
      <c r="AT665" s="10"/>
      <c r="AU665" s="10"/>
      <c r="AV665" s="10"/>
      <c r="AW665" s="10"/>
      <c r="AX665" s="10"/>
      <c r="AY665" s="10"/>
      <c r="AZ665" s="10"/>
      <c r="BA665" s="10"/>
      <c r="BB665" s="10"/>
    </row>
    <row r="666" spans="28:54" s="12" customFormat="1" x14ac:dyDescent="0.25">
      <c r="AB666" s="10"/>
      <c r="AC666" s="10"/>
      <c r="AD666" s="10"/>
      <c r="AE666" s="10"/>
      <c r="AF666" s="10"/>
      <c r="AG666" s="10"/>
      <c r="AH666" s="10"/>
      <c r="AI666" s="10"/>
      <c r="AJ666" s="10"/>
      <c r="AK666" s="10"/>
      <c r="AL666" s="10"/>
      <c r="AM666" s="10"/>
      <c r="AN666" s="10"/>
      <c r="AO666" s="10"/>
      <c r="AP666" s="10"/>
      <c r="AQ666" s="10"/>
      <c r="AR666" s="10"/>
      <c r="AS666" s="10"/>
      <c r="AT666" s="10"/>
      <c r="AU666" s="10"/>
      <c r="AV666" s="10"/>
      <c r="AW666" s="10"/>
      <c r="AX666" s="10"/>
      <c r="AY666" s="10"/>
      <c r="AZ666" s="10"/>
      <c r="BA666" s="10"/>
      <c r="BB666" s="10"/>
    </row>
    <row r="667" spans="28:54" s="12" customFormat="1" x14ac:dyDescent="0.25">
      <c r="AB667" s="10"/>
      <c r="AC667" s="10"/>
      <c r="AD667" s="10"/>
      <c r="AE667" s="10"/>
      <c r="AF667" s="10"/>
      <c r="AG667" s="10"/>
      <c r="AH667" s="10"/>
      <c r="AI667" s="10"/>
      <c r="AJ667" s="10"/>
      <c r="AK667" s="10"/>
      <c r="AL667" s="10"/>
      <c r="AM667" s="10"/>
      <c r="AN667" s="10"/>
      <c r="AO667" s="10"/>
      <c r="AP667" s="10"/>
      <c r="AQ667" s="10"/>
      <c r="AR667" s="10"/>
      <c r="AS667" s="10"/>
      <c r="AT667" s="10"/>
      <c r="AU667" s="10"/>
      <c r="AV667" s="10"/>
      <c r="AW667" s="10"/>
      <c r="AX667" s="10"/>
      <c r="AY667" s="10"/>
      <c r="AZ667" s="10"/>
      <c r="BA667" s="10"/>
      <c r="BB667" s="10"/>
    </row>
    <row r="668" spans="28:54" s="12" customFormat="1" x14ac:dyDescent="0.25">
      <c r="AB668" s="10"/>
      <c r="AC668" s="10"/>
      <c r="AD668" s="10"/>
      <c r="AE668" s="10"/>
      <c r="AF668" s="10"/>
      <c r="AG668" s="10"/>
      <c r="AH668" s="10"/>
      <c r="AI668" s="10"/>
      <c r="AJ668" s="10"/>
      <c r="AK668" s="10"/>
      <c r="AL668" s="10"/>
      <c r="AM668" s="10"/>
      <c r="AN668" s="10"/>
      <c r="AO668" s="10"/>
      <c r="AP668" s="10"/>
      <c r="AQ668" s="10"/>
      <c r="AR668" s="10"/>
      <c r="AS668" s="10"/>
      <c r="AT668" s="10"/>
      <c r="AU668" s="10"/>
      <c r="AV668" s="10"/>
      <c r="AW668" s="10"/>
      <c r="AX668" s="10"/>
      <c r="AY668" s="10"/>
      <c r="AZ668" s="10"/>
      <c r="BA668" s="10"/>
      <c r="BB668" s="10"/>
    </row>
    <row r="669" spans="28:54" s="12" customFormat="1" x14ac:dyDescent="0.25">
      <c r="AB669" s="10"/>
      <c r="AC669" s="10"/>
      <c r="AD669" s="10"/>
      <c r="AE669" s="10"/>
      <c r="AF669" s="10"/>
      <c r="AG669" s="10"/>
      <c r="AH669" s="10"/>
      <c r="AI669" s="10"/>
      <c r="AJ669" s="10"/>
      <c r="AK669" s="10"/>
      <c r="AL669" s="10"/>
      <c r="AM669" s="10"/>
      <c r="AN669" s="10"/>
      <c r="AO669" s="10"/>
      <c r="AP669" s="10"/>
      <c r="AQ669" s="10"/>
      <c r="AR669" s="10"/>
      <c r="AS669" s="10"/>
      <c r="AT669" s="10"/>
      <c r="AU669" s="10"/>
      <c r="AV669" s="10"/>
      <c r="AW669" s="10"/>
      <c r="AX669" s="10"/>
      <c r="AY669" s="10"/>
      <c r="AZ669" s="10"/>
      <c r="BA669" s="10"/>
      <c r="BB669" s="10"/>
    </row>
    <row r="670" spans="28:54" s="12" customFormat="1" x14ac:dyDescent="0.25">
      <c r="AB670" s="10"/>
      <c r="AC670" s="10"/>
      <c r="AD670" s="10"/>
      <c r="AE670" s="10"/>
      <c r="AF670" s="10"/>
      <c r="AG670" s="10"/>
      <c r="AH670" s="10"/>
      <c r="AI670" s="10"/>
      <c r="AJ670" s="10"/>
      <c r="AK670" s="10"/>
      <c r="AL670" s="10"/>
      <c r="AM670" s="10"/>
      <c r="AN670" s="10"/>
      <c r="AO670" s="10"/>
      <c r="AP670" s="10"/>
      <c r="AQ670" s="10"/>
      <c r="AR670" s="10"/>
      <c r="AS670" s="10"/>
      <c r="AT670" s="10"/>
      <c r="AU670" s="10"/>
      <c r="AV670" s="10"/>
      <c r="AW670" s="10"/>
      <c r="AX670" s="10"/>
      <c r="AY670" s="10"/>
      <c r="AZ670" s="10"/>
      <c r="BA670" s="10"/>
      <c r="BB670" s="10"/>
    </row>
    <row r="671" spans="28:54" s="12" customFormat="1" x14ac:dyDescent="0.25">
      <c r="AB671" s="10"/>
      <c r="AC671" s="10"/>
      <c r="AD671" s="10"/>
      <c r="AE671" s="10"/>
      <c r="AF671" s="10"/>
      <c r="AG671" s="10"/>
      <c r="AH671" s="10"/>
      <c r="AI671" s="10"/>
      <c r="AJ671" s="10"/>
      <c r="AK671" s="10"/>
      <c r="AL671" s="10"/>
      <c r="AM671" s="10"/>
      <c r="AN671" s="10"/>
      <c r="AO671" s="10"/>
      <c r="AP671" s="10"/>
      <c r="AQ671" s="10"/>
      <c r="AR671" s="10"/>
      <c r="AS671" s="10"/>
      <c r="AT671" s="10"/>
      <c r="AU671" s="10"/>
      <c r="AV671" s="10"/>
      <c r="AW671" s="10"/>
      <c r="AX671" s="10"/>
      <c r="AY671" s="10"/>
      <c r="AZ671" s="10"/>
      <c r="BA671" s="10"/>
      <c r="BB671" s="10"/>
    </row>
    <row r="672" spans="28:54" s="12" customFormat="1" x14ac:dyDescent="0.25">
      <c r="AB672" s="10"/>
      <c r="AC672" s="10"/>
      <c r="AD672" s="10"/>
      <c r="AE672" s="10"/>
      <c r="AF672" s="10"/>
      <c r="AG672" s="10"/>
      <c r="AH672" s="10"/>
      <c r="AI672" s="10"/>
      <c r="AJ672" s="10"/>
      <c r="AK672" s="10"/>
      <c r="AL672" s="10"/>
      <c r="AM672" s="10"/>
      <c r="AN672" s="10"/>
      <c r="AO672" s="10"/>
      <c r="AP672" s="10"/>
      <c r="AQ672" s="10"/>
      <c r="AR672" s="10"/>
      <c r="AS672" s="10"/>
      <c r="AT672" s="10"/>
      <c r="AU672" s="10"/>
      <c r="AV672" s="10"/>
      <c r="AW672" s="10"/>
      <c r="AX672" s="10"/>
      <c r="AY672" s="10"/>
      <c r="AZ672" s="10"/>
      <c r="BA672" s="10"/>
      <c r="BB672" s="10"/>
    </row>
    <row r="673" spans="28:54" s="12" customFormat="1" x14ac:dyDescent="0.25">
      <c r="AB673" s="10"/>
      <c r="AC673" s="10"/>
      <c r="AD673" s="10"/>
      <c r="AE673" s="10"/>
      <c r="AF673" s="10"/>
      <c r="AG673" s="10"/>
      <c r="AH673" s="10"/>
      <c r="AI673" s="10"/>
      <c r="AJ673" s="10"/>
      <c r="AK673" s="10"/>
      <c r="AL673" s="10"/>
      <c r="AM673" s="10"/>
      <c r="AN673" s="10"/>
      <c r="AO673" s="10"/>
      <c r="AP673" s="10"/>
      <c r="AQ673" s="10"/>
      <c r="AR673" s="10"/>
      <c r="AS673" s="10"/>
      <c r="AT673" s="10"/>
      <c r="AU673" s="10"/>
      <c r="AV673" s="10"/>
      <c r="AW673" s="10"/>
      <c r="AX673" s="10"/>
      <c r="AY673" s="10"/>
      <c r="AZ673" s="10"/>
      <c r="BA673" s="10"/>
      <c r="BB673" s="10"/>
    </row>
    <row r="674" spans="28:54" s="12" customFormat="1" x14ac:dyDescent="0.25">
      <c r="AB674" s="10"/>
      <c r="AC674" s="10"/>
      <c r="AD674" s="10"/>
      <c r="AE674" s="10"/>
      <c r="AF674" s="10"/>
      <c r="AG674" s="10"/>
      <c r="AH674" s="10"/>
      <c r="AI674" s="10"/>
      <c r="AJ674" s="10"/>
      <c r="AK674" s="10"/>
      <c r="AL674" s="10"/>
      <c r="AM674" s="10"/>
      <c r="AN674" s="10"/>
      <c r="AO674" s="10"/>
      <c r="AP674" s="10"/>
      <c r="AQ674" s="10"/>
      <c r="AR674" s="10"/>
      <c r="AS674" s="10"/>
      <c r="AT674" s="10"/>
      <c r="AU674" s="10"/>
      <c r="AV674" s="10"/>
      <c r="AW674" s="10"/>
      <c r="AX674" s="10"/>
      <c r="AY674" s="10"/>
      <c r="AZ674" s="10"/>
      <c r="BA674" s="10"/>
      <c r="BB674" s="10"/>
    </row>
    <row r="675" spans="28:54" s="12" customFormat="1" x14ac:dyDescent="0.25">
      <c r="AB675" s="10"/>
      <c r="AC675" s="10"/>
      <c r="AD675" s="10"/>
      <c r="AE675" s="10"/>
      <c r="AF675" s="10"/>
      <c r="AG675" s="10"/>
      <c r="AH675" s="10"/>
      <c r="AI675" s="10"/>
      <c r="AJ675" s="10"/>
      <c r="AK675" s="10"/>
      <c r="AL675" s="10"/>
      <c r="AM675" s="10"/>
      <c r="AN675" s="10"/>
      <c r="AO675" s="10"/>
      <c r="AP675" s="10"/>
      <c r="AQ675" s="10"/>
      <c r="AR675" s="10"/>
      <c r="AS675" s="10"/>
      <c r="AT675" s="10"/>
      <c r="AU675" s="10"/>
      <c r="AV675" s="10"/>
      <c r="AW675" s="10"/>
      <c r="AX675" s="10"/>
      <c r="AY675" s="10"/>
      <c r="AZ675" s="10"/>
      <c r="BA675" s="10"/>
      <c r="BB675" s="10"/>
    </row>
    <row r="676" spans="28:54" s="12" customFormat="1" x14ac:dyDescent="0.25">
      <c r="AB676" s="10"/>
      <c r="AC676" s="10"/>
      <c r="AD676" s="10"/>
      <c r="AE676" s="10"/>
      <c r="AF676" s="10"/>
      <c r="AG676" s="10"/>
      <c r="AH676" s="10"/>
      <c r="AI676" s="10"/>
      <c r="AJ676" s="10"/>
      <c r="AK676" s="10"/>
      <c r="AL676" s="10"/>
      <c r="AM676" s="10"/>
      <c r="AN676" s="10"/>
      <c r="AO676" s="10"/>
      <c r="AP676" s="10"/>
      <c r="AQ676" s="10"/>
      <c r="AR676" s="10"/>
      <c r="AS676" s="10"/>
      <c r="AT676" s="10"/>
      <c r="AU676" s="10"/>
      <c r="AV676" s="10"/>
      <c r="AW676" s="10"/>
      <c r="AX676" s="10"/>
      <c r="AY676" s="10"/>
      <c r="AZ676" s="10"/>
      <c r="BA676" s="10"/>
      <c r="BB676" s="10"/>
    </row>
    <row r="677" spans="28:54" s="12" customFormat="1" x14ac:dyDescent="0.25">
      <c r="AB677" s="10"/>
      <c r="AC677" s="10"/>
      <c r="AD677" s="10"/>
      <c r="AE677" s="10"/>
      <c r="AF677" s="10"/>
      <c r="AG677" s="10"/>
      <c r="AH677" s="10"/>
      <c r="AI677" s="10"/>
      <c r="AJ677" s="10"/>
      <c r="AK677" s="10"/>
      <c r="AL677" s="10"/>
      <c r="AM677" s="10"/>
      <c r="AN677" s="10"/>
      <c r="AO677" s="10"/>
      <c r="AP677" s="10"/>
      <c r="AQ677" s="10"/>
      <c r="AR677" s="10"/>
      <c r="AS677" s="10"/>
      <c r="AT677" s="10"/>
      <c r="AU677" s="10"/>
      <c r="AV677" s="10"/>
      <c r="AW677" s="10"/>
      <c r="AX677" s="10"/>
      <c r="AY677" s="10"/>
      <c r="AZ677" s="10"/>
      <c r="BA677" s="10"/>
      <c r="BB677" s="10"/>
    </row>
    <row r="678" spans="28:54" s="12" customFormat="1" x14ac:dyDescent="0.25">
      <c r="AB678" s="10"/>
      <c r="AC678" s="10"/>
      <c r="AD678" s="10"/>
      <c r="AE678" s="10"/>
      <c r="AF678" s="10"/>
      <c r="AG678" s="10"/>
      <c r="AH678" s="10"/>
      <c r="AI678" s="10"/>
      <c r="AJ678" s="10"/>
      <c r="AK678" s="10"/>
      <c r="AL678" s="10"/>
      <c r="AM678" s="10"/>
      <c r="AN678" s="10"/>
      <c r="AO678" s="10"/>
      <c r="AP678" s="10"/>
      <c r="AQ678" s="10"/>
      <c r="AR678" s="10"/>
      <c r="AS678" s="10"/>
      <c r="AT678" s="10"/>
      <c r="AU678" s="10"/>
      <c r="AV678" s="10"/>
      <c r="AW678" s="10"/>
      <c r="AX678" s="10"/>
      <c r="AY678" s="10"/>
      <c r="AZ678" s="10"/>
      <c r="BA678" s="10"/>
      <c r="BB678" s="10"/>
    </row>
    <row r="679" spans="28:54" s="12" customFormat="1" x14ac:dyDescent="0.25">
      <c r="AB679" s="10"/>
      <c r="AC679" s="10"/>
      <c r="AD679" s="10"/>
      <c r="AE679" s="10"/>
      <c r="AF679" s="10"/>
      <c r="AG679" s="10"/>
      <c r="AH679" s="10"/>
      <c r="AI679" s="10"/>
      <c r="AJ679" s="10"/>
      <c r="AK679" s="10"/>
      <c r="AL679" s="10"/>
      <c r="AM679" s="10"/>
      <c r="AN679" s="10"/>
      <c r="AO679" s="10"/>
      <c r="AP679" s="10"/>
      <c r="AQ679" s="10"/>
      <c r="AR679" s="10"/>
      <c r="AS679" s="10"/>
      <c r="AT679" s="10"/>
      <c r="AU679" s="10"/>
      <c r="AV679" s="10"/>
      <c r="AW679" s="10"/>
      <c r="AX679" s="10"/>
      <c r="AY679" s="10"/>
      <c r="AZ679" s="10"/>
      <c r="BA679" s="10"/>
      <c r="BB679" s="10"/>
    </row>
    <row r="680" spans="28:54" s="12" customFormat="1" x14ac:dyDescent="0.25">
      <c r="AB680" s="10"/>
      <c r="AC680" s="10"/>
      <c r="AD680" s="10"/>
      <c r="AE680" s="10"/>
      <c r="AF680" s="10"/>
      <c r="AG680" s="10"/>
      <c r="AH680" s="10"/>
      <c r="AI680" s="10"/>
      <c r="AJ680" s="10"/>
      <c r="AK680" s="10"/>
      <c r="AL680" s="10"/>
      <c r="AM680" s="10"/>
      <c r="AN680" s="10"/>
      <c r="AO680" s="10"/>
      <c r="AP680" s="10"/>
      <c r="AQ680" s="10"/>
      <c r="AR680" s="10"/>
      <c r="AS680" s="10"/>
      <c r="AT680" s="10"/>
      <c r="AU680" s="10"/>
      <c r="AV680" s="10"/>
      <c r="AW680" s="10"/>
      <c r="AX680" s="10"/>
      <c r="AY680" s="10"/>
      <c r="AZ680" s="10"/>
      <c r="BA680" s="10"/>
      <c r="BB680" s="10"/>
    </row>
    <row r="681" spans="28:54" s="12" customFormat="1" x14ac:dyDescent="0.25">
      <c r="AB681" s="10"/>
      <c r="AC681" s="10"/>
      <c r="AD681" s="10"/>
      <c r="AE681" s="10"/>
      <c r="AF681" s="10"/>
      <c r="AG681" s="10"/>
      <c r="AH681" s="10"/>
      <c r="AI681" s="10"/>
      <c r="AJ681" s="10"/>
      <c r="AK681" s="10"/>
      <c r="AL681" s="10"/>
      <c r="AM681" s="10"/>
      <c r="AN681" s="10"/>
      <c r="AO681" s="10"/>
      <c r="AP681" s="10"/>
      <c r="AQ681" s="10"/>
      <c r="AR681" s="10"/>
      <c r="AS681" s="10"/>
      <c r="AT681" s="10"/>
      <c r="AU681" s="10"/>
      <c r="AV681" s="10"/>
      <c r="AW681" s="10"/>
      <c r="AX681" s="10"/>
      <c r="AY681" s="10"/>
      <c r="AZ681" s="10"/>
      <c r="BA681" s="10"/>
      <c r="BB681" s="10"/>
    </row>
    <row r="682" spans="28:54" s="12" customFormat="1" x14ac:dyDescent="0.25">
      <c r="AB682" s="10"/>
      <c r="AC682" s="10"/>
      <c r="AD682" s="10"/>
      <c r="AE682" s="10"/>
      <c r="AF682" s="10"/>
      <c r="AG682" s="10"/>
      <c r="AH682" s="10"/>
      <c r="AI682" s="10"/>
      <c r="AJ682" s="10"/>
      <c r="AK682" s="10"/>
      <c r="AL682" s="10"/>
      <c r="AM682" s="10"/>
      <c r="AN682" s="10"/>
      <c r="AO682" s="10"/>
      <c r="AP682" s="10"/>
      <c r="AQ682" s="10"/>
      <c r="AR682" s="10"/>
      <c r="AS682" s="10"/>
      <c r="AT682" s="10"/>
      <c r="AU682" s="10"/>
      <c r="AV682" s="10"/>
      <c r="AW682" s="10"/>
      <c r="AX682" s="10"/>
      <c r="AY682" s="10"/>
      <c r="AZ682" s="10"/>
      <c r="BA682" s="10"/>
      <c r="BB682" s="10"/>
    </row>
    <row r="683" spans="28:54" s="12" customFormat="1" x14ac:dyDescent="0.25">
      <c r="AB683" s="10"/>
      <c r="AC683" s="10"/>
      <c r="AD683" s="10"/>
      <c r="AE683" s="10"/>
      <c r="AF683" s="10"/>
      <c r="AG683" s="10"/>
      <c r="AH683" s="10"/>
      <c r="AI683" s="10"/>
      <c r="AJ683" s="10"/>
      <c r="AK683" s="10"/>
      <c r="AL683" s="10"/>
      <c r="AM683" s="10"/>
      <c r="AN683" s="10"/>
      <c r="AO683" s="10"/>
      <c r="AP683" s="10"/>
      <c r="AQ683" s="10"/>
      <c r="AR683" s="10"/>
      <c r="AS683" s="10"/>
      <c r="AT683" s="10"/>
      <c r="AU683" s="10"/>
      <c r="AV683" s="10"/>
      <c r="AW683" s="10"/>
      <c r="AX683" s="10"/>
      <c r="AY683" s="10"/>
      <c r="AZ683" s="10"/>
      <c r="BA683" s="10"/>
      <c r="BB683" s="10"/>
    </row>
    <row r="684" spans="28:54" s="12" customFormat="1" x14ac:dyDescent="0.25">
      <c r="AB684" s="10"/>
      <c r="AC684" s="10"/>
      <c r="AD684" s="10"/>
      <c r="AE684" s="10"/>
      <c r="AF684" s="10"/>
      <c r="AG684" s="10"/>
      <c r="AH684" s="10"/>
      <c r="AI684" s="10"/>
      <c r="AJ684" s="10"/>
      <c r="AK684" s="10"/>
      <c r="AL684" s="10"/>
      <c r="AM684" s="10"/>
      <c r="AN684" s="10"/>
      <c r="AO684" s="10"/>
      <c r="AP684" s="10"/>
      <c r="AQ684" s="10"/>
      <c r="AR684" s="10"/>
      <c r="AS684" s="10"/>
      <c r="AT684" s="10"/>
      <c r="AU684" s="10"/>
      <c r="AV684" s="10"/>
      <c r="AW684" s="10"/>
      <c r="AX684" s="10"/>
      <c r="AY684" s="10"/>
      <c r="AZ684" s="10"/>
      <c r="BA684" s="10"/>
      <c r="BB684" s="10"/>
    </row>
    <row r="685" spans="28:54" s="12" customFormat="1" x14ac:dyDescent="0.25">
      <c r="AB685" s="10"/>
      <c r="AC685" s="10"/>
      <c r="AD685" s="10"/>
      <c r="AE685" s="10"/>
      <c r="AF685" s="10"/>
      <c r="AG685" s="10"/>
      <c r="AH685" s="10"/>
      <c r="AI685" s="10"/>
      <c r="AJ685" s="10"/>
      <c r="AK685" s="10"/>
      <c r="AL685" s="10"/>
      <c r="AM685" s="10"/>
      <c r="AN685" s="10"/>
      <c r="AO685" s="10"/>
      <c r="AP685" s="10"/>
      <c r="AQ685" s="10"/>
      <c r="AR685" s="10"/>
      <c r="AS685" s="10"/>
      <c r="AT685" s="10"/>
      <c r="AU685" s="10"/>
      <c r="AV685" s="10"/>
      <c r="AW685" s="10"/>
      <c r="AX685" s="10"/>
      <c r="AY685" s="10"/>
      <c r="AZ685" s="10"/>
      <c r="BA685" s="10"/>
      <c r="BB685" s="10"/>
    </row>
    <row r="686" spans="28:54" s="12" customFormat="1" x14ac:dyDescent="0.25">
      <c r="AB686" s="10"/>
      <c r="AC686" s="10"/>
      <c r="AD686" s="10"/>
      <c r="AE686" s="10"/>
      <c r="AF686" s="10"/>
      <c r="AG686" s="10"/>
      <c r="AH686" s="10"/>
      <c r="AI686" s="10"/>
      <c r="AJ686" s="10"/>
      <c r="AK686" s="10"/>
      <c r="AL686" s="10"/>
      <c r="AM686" s="10"/>
      <c r="AN686" s="10"/>
      <c r="AO686" s="10"/>
      <c r="AP686" s="10"/>
      <c r="AQ686" s="10"/>
      <c r="AR686" s="10"/>
      <c r="AS686" s="10"/>
      <c r="AT686" s="10"/>
      <c r="AU686" s="10"/>
      <c r="AV686" s="10"/>
      <c r="AW686" s="10"/>
      <c r="AX686" s="10"/>
      <c r="AY686" s="10"/>
      <c r="AZ686" s="10"/>
      <c r="BA686" s="10"/>
      <c r="BB686" s="10"/>
    </row>
    <row r="687" spans="28:54" s="12" customFormat="1" x14ac:dyDescent="0.25">
      <c r="AB687" s="10"/>
      <c r="AC687" s="10"/>
      <c r="AD687" s="10"/>
      <c r="AE687" s="10"/>
      <c r="AF687" s="10"/>
      <c r="AG687" s="10"/>
      <c r="AH687" s="10"/>
      <c r="AI687" s="10"/>
      <c r="AJ687" s="10"/>
      <c r="AK687" s="10"/>
      <c r="AL687" s="10"/>
      <c r="AM687" s="10"/>
      <c r="AN687" s="10"/>
      <c r="AO687" s="10"/>
      <c r="AP687" s="10"/>
      <c r="AQ687" s="10"/>
      <c r="AR687" s="10"/>
      <c r="AS687" s="10"/>
      <c r="AT687" s="10"/>
      <c r="AU687" s="10"/>
      <c r="AV687" s="10"/>
      <c r="AW687" s="10"/>
      <c r="AX687" s="10"/>
      <c r="AY687" s="10"/>
      <c r="AZ687" s="10"/>
      <c r="BA687" s="10"/>
      <c r="BB687" s="10"/>
    </row>
    <row r="688" spans="28:54" s="12" customFormat="1" x14ac:dyDescent="0.25">
      <c r="AB688" s="10"/>
      <c r="AC688" s="10"/>
      <c r="AD688" s="10"/>
      <c r="AE688" s="10"/>
      <c r="AF688" s="10"/>
      <c r="AG688" s="10"/>
      <c r="AH688" s="10"/>
      <c r="AI688" s="10"/>
      <c r="AJ688" s="10"/>
      <c r="AK688" s="10"/>
      <c r="AL688" s="10"/>
      <c r="AM688" s="10"/>
      <c r="AN688" s="10"/>
      <c r="AO688" s="10"/>
      <c r="AP688" s="10"/>
      <c r="AQ688" s="10"/>
      <c r="AR688" s="10"/>
      <c r="AS688" s="10"/>
      <c r="AT688" s="10"/>
      <c r="AU688" s="10"/>
      <c r="AV688" s="10"/>
      <c r="AW688" s="10"/>
      <c r="AX688" s="10"/>
      <c r="AY688" s="10"/>
      <c r="AZ688" s="10"/>
      <c r="BA688" s="10"/>
      <c r="BB688" s="10"/>
    </row>
    <row r="689" spans="28:54" s="12" customFormat="1" x14ac:dyDescent="0.25">
      <c r="AB689" s="10"/>
      <c r="AC689" s="10"/>
      <c r="AD689" s="10"/>
      <c r="AE689" s="10"/>
      <c r="AF689" s="10"/>
      <c r="AG689" s="10"/>
      <c r="AH689" s="10"/>
      <c r="AI689" s="10"/>
      <c r="AJ689" s="10"/>
      <c r="AK689" s="10"/>
      <c r="AL689" s="10"/>
      <c r="AM689" s="10"/>
      <c r="AN689" s="10"/>
      <c r="AO689" s="10"/>
      <c r="AP689" s="10"/>
      <c r="AQ689" s="10"/>
      <c r="AR689" s="10"/>
      <c r="AS689" s="10"/>
      <c r="AT689" s="10"/>
      <c r="AU689" s="10"/>
      <c r="AV689" s="10"/>
      <c r="AW689" s="10"/>
      <c r="AX689" s="10"/>
      <c r="AY689" s="10"/>
      <c r="AZ689" s="10"/>
      <c r="BA689" s="10"/>
      <c r="BB689" s="10"/>
    </row>
    <row r="690" spans="28:54" s="12" customFormat="1" x14ac:dyDescent="0.25">
      <c r="AB690" s="10"/>
      <c r="AC690" s="10"/>
      <c r="AD690" s="10"/>
      <c r="AE690" s="10"/>
      <c r="AF690" s="10"/>
      <c r="AG690" s="10"/>
      <c r="AH690" s="10"/>
      <c r="AI690" s="10"/>
      <c r="AJ690" s="10"/>
      <c r="AK690" s="10"/>
      <c r="AL690" s="10"/>
      <c r="AM690" s="10"/>
      <c r="AN690" s="10"/>
      <c r="AO690" s="10"/>
      <c r="AP690" s="10"/>
      <c r="AQ690" s="10"/>
      <c r="AR690" s="10"/>
      <c r="AS690" s="10"/>
      <c r="AT690" s="10"/>
      <c r="AU690" s="10"/>
      <c r="AV690" s="10"/>
      <c r="AW690" s="10"/>
      <c r="AX690" s="10"/>
      <c r="AY690" s="10"/>
      <c r="AZ690" s="10"/>
      <c r="BA690" s="10"/>
      <c r="BB690" s="10"/>
    </row>
    <row r="691" spans="28:54" s="12" customFormat="1" x14ac:dyDescent="0.25">
      <c r="AB691" s="10"/>
      <c r="AC691" s="10"/>
      <c r="AD691" s="10"/>
      <c r="AE691" s="10"/>
      <c r="AF691" s="10"/>
      <c r="AG691" s="10"/>
      <c r="AH691" s="10"/>
      <c r="AI691" s="10"/>
      <c r="AJ691" s="10"/>
      <c r="AK691" s="10"/>
      <c r="AL691" s="10"/>
      <c r="AM691" s="10"/>
      <c r="AN691" s="10"/>
      <c r="AO691" s="10"/>
      <c r="AP691" s="10"/>
      <c r="AQ691" s="10"/>
      <c r="AR691" s="10"/>
      <c r="AS691" s="10"/>
      <c r="AT691" s="10"/>
      <c r="AU691" s="10"/>
      <c r="AV691" s="10"/>
      <c r="AW691" s="10"/>
      <c r="AX691" s="10"/>
      <c r="AY691" s="10"/>
      <c r="AZ691" s="10"/>
      <c r="BA691" s="10"/>
      <c r="BB691" s="10"/>
    </row>
    <row r="692" spans="28:54" s="12" customFormat="1" x14ac:dyDescent="0.25">
      <c r="AB692" s="10"/>
      <c r="AC692" s="10"/>
      <c r="AD692" s="10"/>
      <c r="AE692" s="10"/>
      <c r="AF692" s="10"/>
      <c r="AG692" s="10"/>
      <c r="AH692" s="10"/>
      <c r="AI692" s="10"/>
      <c r="AJ692" s="10"/>
      <c r="AK692" s="10"/>
      <c r="AL692" s="10"/>
      <c r="AM692" s="10"/>
      <c r="AN692" s="10"/>
      <c r="AO692" s="10"/>
      <c r="AP692" s="10"/>
      <c r="AQ692" s="10"/>
      <c r="AR692" s="10"/>
      <c r="AS692" s="10"/>
      <c r="AT692" s="10"/>
      <c r="AU692" s="10"/>
      <c r="AV692" s="10"/>
      <c r="AW692" s="10"/>
      <c r="AX692" s="10"/>
      <c r="AY692" s="10"/>
      <c r="AZ692" s="10"/>
      <c r="BA692" s="10"/>
      <c r="BB692" s="10"/>
    </row>
    <row r="693" spans="28:54" s="12" customFormat="1" x14ac:dyDescent="0.25">
      <c r="AB693" s="10"/>
      <c r="AC693" s="10"/>
      <c r="AD693" s="10"/>
      <c r="AE693" s="10"/>
      <c r="AF693" s="10"/>
      <c r="AG693" s="10"/>
      <c r="AH693" s="10"/>
      <c r="AI693" s="10"/>
      <c r="AJ693" s="10"/>
      <c r="AK693" s="10"/>
      <c r="AL693" s="10"/>
      <c r="AM693" s="10"/>
      <c r="AN693" s="10"/>
      <c r="AO693" s="10"/>
      <c r="AP693" s="10"/>
      <c r="AQ693" s="10"/>
      <c r="AR693" s="10"/>
      <c r="AS693" s="10"/>
      <c r="AT693" s="10"/>
      <c r="AU693" s="10"/>
      <c r="AV693" s="10"/>
      <c r="AW693" s="10"/>
      <c r="AX693" s="10"/>
      <c r="AY693" s="10"/>
      <c r="AZ693" s="10"/>
      <c r="BA693" s="10"/>
      <c r="BB693" s="10"/>
    </row>
    <row r="694" spans="28:54" s="12" customFormat="1" x14ac:dyDescent="0.25">
      <c r="AB694" s="10"/>
      <c r="AC694" s="10"/>
      <c r="AD694" s="10"/>
      <c r="AE694" s="10"/>
      <c r="AF694" s="10"/>
      <c r="AG694" s="10"/>
      <c r="AH694" s="10"/>
      <c r="AI694" s="10"/>
      <c r="AJ694" s="10"/>
      <c r="AK694" s="10"/>
      <c r="AL694" s="10"/>
      <c r="AM694" s="10"/>
      <c r="AN694" s="10"/>
      <c r="AO694" s="10"/>
      <c r="AP694" s="10"/>
      <c r="AQ694" s="10"/>
      <c r="AR694" s="10"/>
      <c r="AS694" s="10"/>
      <c r="AT694" s="10"/>
      <c r="AU694" s="10"/>
      <c r="AV694" s="10"/>
      <c r="AW694" s="10"/>
      <c r="AX694" s="10"/>
      <c r="AY694" s="10"/>
      <c r="AZ694" s="10"/>
      <c r="BA694" s="10"/>
      <c r="BB694" s="10"/>
    </row>
    <row r="695" spans="28:54" s="12" customFormat="1" x14ac:dyDescent="0.25">
      <c r="AB695" s="10"/>
      <c r="AC695" s="10"/>
      <c r="AD695" s="10"/>
      <c r="AE695" s="10"/>
      <c r="AF695" s="10"/>
      <c r="AG695" s="10"/>
      <c r="AH695" s="10"/>
      <c r="AI695" s="10"/>
      <c r="AJ695" s="10"/>
      <c r="AK695" s="10"/>
      <c r="AL695" s="10"/>
      <c r="AM695" s="10"/>
      <c r="AN695" s="10"/>
      <c r="AO695" s="10"/>
      <c r="AP695" s="10"/>
      <c r="AQ695" s="10"/>
      <c r="AR695" s="10"/>
      <c r="AS695" s="10"/>
      <c r="AT695" s="10"/>
      <c r="AU695" s="10"/>
      <c r="AV695" s="10"/>
      <c r="AW695" s="10"/>
      <c r="AX695" s="10"/>
      <c r="AY695" s="10"/>
      <c r="AZ695" s="10"/>
      <c r="BA695" s="10"/>
      <c r="BB695" s="10"/>
    </row>
    <row r="696" spans="28:54" s="12" customFormat="1" x14ac:dyDescent="0.25">
      <c r="AB696" s="10"/>
      <c r="AC696" s="10"/>
      <c r="AD696" s="10"/>
      <c r="AE696" s="10"/>
      <c r="AF696" s="10"/>
      <c r="AG696" s="10"/>
      <c r="AH696" s="10"/>
      <c r="AI696" s="10"/>
      <c r="AJ696" s="10"/>
      <c r="AK696" s="10"/>
      <c r="AL696" s="10"/>
      <c r="AM696" s="10"/>
      <c r="AN696" s="10"/>
      <c r="AO696" s="10"/>
      <c r="AP696" s="10"/>
      <c r="AQ696" s="10"/>
      <c r="AR696" s="10"/>
      <c r="AS696" s="10"/>
      <c r="AT696" s="10"/>
      <c r="AU696" s="10"/>
      <c r="AV696" s="10"/>
      <c r="AW696" s="10"/>
      <c r="AX696" s="10"/>
      <c r="AY696" s="10"/>
      <c r="AZ696" s="10"/>
      <c r="BA696" s="10"/>
      <c r="BB696" s="10"/>
    </row>
    <row r="697" spans="28:54" s="12" customFormat="1" x14ac:dyDescent="0.25">
      <c r="AB697" s="10"/>
      <c r="AC697" s="10"/>
      <c r="AD697" s="10"/>
      <c r="AE697" s="10"/>
      <c r="AF697" s="10"/>
      <c r="AG697" s="10"/>
      <c r="AH697" s="10"/>
      <c r="AI697" s="10"/>
      <c r="AJ697" s="10"/>
      <c r="AK697" s="10"/>
      <c r="AL697" s="10"/>
      <c r="AM697" s="10"/>
      <c r="AN697" s="10"/>
      <c r="AO697" s="10"/>
      <c r="AP697" s="10"/>
      <c r="AQ697" s="10"/>
      <c r="AR697" s="10"/>
      <c r="AS697" s="10"/>
      <c r="AT697" s="10"/>
      <c r="AU697" s="10"/>
      <c r="AV697" s="10"/>
      <c r="AW697" s="10"/>
      <c r="AX697" s="10"/>
      <c r="AY697" s="10"/>
      <c r="AZ697" s="10"/>
      <c r="BA697" s="10"/>
      <c r="BB697" s="10"/>
    </row>
    <row r="698" spans="28:54" s="12" customFormat="1" x14ac:dyDescent="0.25">
      <c r="AB698" s="10"/>
      <c r="AC698" s="10"/>
      <c r="AD698" s="10"/>
      <c r="AE698" s="10"/>
      <c r="AF698" s="10"/>
      <c r="AG698" s="10"/>
      <c r="AH698" s="10"/>
      <c r="AI698" s="10"/>
      <c r="AJ698" s="10"/>
      <c r="AK698" s="10"/>
      <c r="AL698" s="10"/>
      <c r="AM698" s="10"/>
      <c r="AN698" s="10"/>
      <c r="AO698" s="10"/>
      <c r="AP698" s="10"/>
      <c r="AQ698" s="10"/>
      <c r="AR698" s="10"/>
      <c r="AS698" s="10"/>
      <c r="AT698" s="10"/>
      <c r="AU698" s="10"/>
      <c r="AV698" s="10"/>
      <c r="AW698" s="10"/>
      <c r="AX698" s="10"/>
      <c r="AY698" s="10"/>
      <c r="AZ698" s="10"/>
      <c r="BA698" s="10"/>
      <c r="BB698" s="10"/>
    </row>
    <row r="699" spans="28:54" s="12" customFormat="1" x14ac:dyDescent="0.25">
      <c r="AB699" s="10"/>
      <c r="AC699" s="10"/>
      <c r="AD699" s="10"/>
      <c r="AE699" s="10"/>
      <c r="AF699" s="10"/>
      <c r="AG699" s="10"/>
      <c r="AH699" s="10"/>
      <c r="AI699" s="10"/>
      <c r="AJ699" s="10"/>
      <c r="AK699" s="10"/>
      <c r="AL699" s="10"/>
      <c r="AM699" s="10"/>
      <c r="AN699" s="10"/>
      <c r="AO699" s="10"/>
      <c r="AP699" s="10"/>
      <c r="AQ699" s="10"/>
      <c r="AR699" s="10"/>
      <c r="AS699" s="10"/>
      <c r="AT699" s="10"/>
      <c r="AU699" s="10"/>
      <c r="AV699" s="10"/>
      <c r="AW699" s="10"/>
      <c r="AX699" s="10"/>
      <c r="AY699" s="10"/>
      <c r="AZ699" s="10"/>
      <c r="BA699" s="10"/>
      <c r="BB699" s="10"/>
    </row>
    <row r="700" spans="28:54" s="12" customFormat="1" x14ac:dyDescent="0.25">
      <c r="AB700" s="10"/>
      <c r="AC700" s="10"/>
      <c r="AD700" s="10"/>
      <c r="AE700" s="10"/>
      <c r="AF700" s="10"/>
      <c r="AG700" s="10"/>
      <c r="AH700" s="10"/>
      <c r="AI700" s="10"/>
      <c r="AJ700" s="10"/>
      <c r="AK700" s="10"/>
      <c r="AL700" s="10"/>
      <c r="AM700" s="10"/>
      <c r="AN700" s="10"/>
      <c r="AO700" s="10"/>
      <c r="AP700" s="10"/>
      <c r="AQ700" s="10"/>
      <c r="AR700" s="10"/>
      <c r="AS700" s="10"/>
      <c r="AT700" s="10"/>
      <c r="AU700" s="10"/>
      <c r="AV700" s="10"/>
      <c r="AW700" s="10"/>
      <c r="AX700" s="10"/>
      <c r="AY700" s="10"/>
      <c r="AZ700" s="10"/>
      <c r="BA700" s="10"/>
      <c r="BB700" s="10"/>
    </row>
    <row r="701" spans="28:54" s="12" customFormat="1" x14ac:dyDescent="0.25">
      <c r="AB701" s="10"/>
      <c r="AC701" s="10"/>
      <c r="AD701" s="10"/>
      <c r="AE701" s="10"/>
      <c r="AF701" s="10"/>
      <c r="AG701" s="10"/>
      <c r="AH701" s="10"/>
      <c r="AI701" s="10"/>
      <c r="AJ701" s="10"/>
      <c r="AK701" s="10"/>
      <c r="AL701" s="10"/>
      <c r="AM701" s="10"/>
      <c r="AN701" s="10"/>
      <c r="AO701" s="10"/>
      <c r="AP701" s="10"/>
      <c r="AQ701" s="10"/>
      <c r="AR701" s="10"/>
      <c r="AS701" s="10"/>
      <c r="AT701" s="10"/>
      <c r="AU701" s="10"/>
      <c r="AV701" s="10"/>
      <c r="AW701" s="10"/>
      <c r="AX701" s="10"/>
      <c r="AY701" s="10"/>
      <c r="AZ701" s="10"/>
      <c r="BA701" s="10"/>
      <c r="BB701" s="10"/>
    </row>
    <row r="702" spans="28:54" s="12" customFormat="1" x14ac:dyDescent="0.25">
      <c r="AB702" s="10"/>
      <c r="AC702" s="10"/>
      <c r="AD702" s="10"/>
      <c r="AE702" s="10"/>
      <c r="AF702" s="10"/>
      <c r="AG702" s="10"/>
      <c r="AH702" s="10"/>
      <c r="AI702" s="10"/>
      <c r="AJ702" s="10"/>
      <c r="AK702" s="10"/>
      <c r="AL702" s="10"/>
      <c r="AM702" s="10"/>
      <c r="AN702" s="10"/>
      <c r="AO702" s="10"/>
      <c r="AP702" s="10"/>
      <c r="AQ702" s="10"/>
      <c r="AR702" s="10"/>
      <c r="AS702" s="10"/>
      <c r="AT702" s="10"/>
      <c r="AU702" s="10"/>
      <c r="AV702" s="10"/>
      <c r="AW702" s="10"/>
      <c r="AX702" s="10"/>
      <c r="AY702" s="10"/>
      <c r="AZ702" s="10"/>
      <c r="BA702" s="10"/>
      <c r="BB702" s="10"/>
    </row>
    <row r="703" spans="28:54" s="12" customFormat="1" x14ac:dyDescent="0.25">
      <c r="AB703" s="10"/>
      <c r="AC703" s="10"/>
      <c r="AD703" s="10"/>
      <c r="AE703" s="10"/>
      <c r="AF703" s="10"/>
      <c r="AG703" s="10"/>
      <c r="AH703" s="10"/>
      <c r="AI703" s="10"/>
      <c r="AJ703" s="10"/>
      <c r="AK703" s="10"/>
      <c r="AL703" s="10"/>
      <c r="AM703" s="10"/>
      <c r="AN703" s="10"/>
      <c r="AO703" s="10"/>
      <c r="AP703" s="10"/>
      <c r="AQ703" s="10"/>
      <c r="AR703" s="10"/>
      <c r="AS703" s="10"/>
      <c r="AT703" s="10"/>
      <c r="AU703" s="10"/>
      <c r="AV703" s="10"/>
      <c r="AW703" s="10"/>
      <c r="AX703" s="10"/>
      <c r="AY703" s="10"/>
      <c r="AZ703" s="10"/>
      <c r="BA703" s="10"/>
      <c r="BB703" s="10"/>
    </row>
    <row r="704" spans="28:54" s="12" customFormat="1" x14ac:dyDescent="0.25">
      <c r="AB704" s="10"/>
      <c r="AC704" s="10"/>
      <c r="AD704" s="10"/>
      <c r="AE704" s="10"/>
      <c r="AF704" s="10"/>
      <c r="AG704" s="10"/>
      <c r="AH704" s="10"/>
      <c r="AI704" s="10"/>
      <c r="AJ704" s="10"/>
      <c r="AK704" s="10"/>
      <c r="AL704" s="10"/>
      <c r="AM704" s="10"/>
      <c r="AN704" s="10"/>
      <c r="AO704" s="10"/>
      <c r="AP704" s="10"/>
      <c r="AQ704" s="10"/>
      <c r="AR704" s="10"/>
      <c r="AS704" s="10"/>
      <c r="AT704" s="10"/>
      <c r="AU704" s="10"/>
      <c r="AV704" s="10"/>
      <c r="AW704" s="10"/>
      <c r="AX704" s="10"/>
      <c r="AY704" s="10"/>
      <c r="AZ704" s="10"/>
      <c r="BA704" s="10"/>
      <c r="BB704" s="10"/>
    </row>
    <row r="705" spans="28:54" s="12" customFormat="1" x14ac:dyDescent="0.25">
      <c r="AB705" s="10"/>
      <c r="AC705" s="10"/>
      <c r="AD705" s="10"/>
      <c r="AE705" s="10"/>
      <c r="AF705" s="10"/>
      <c r="AG705" s="10"/>
      <c r="AH705" s="10"/>
      <c r="AI705" s="10"/>
      <c r="AJ705" s="10"/>
      <c r="AK705" s="10"/>
      <c r="AL705" s="10"/>
      <c r="AM705" s="10"/>
      <c r="AN705" s="10"/>
      <c r="AO705" s="10"/>
      <c r="AP705" s="10"/>
      <c r="AQ705" s="10"/>
      <c r="AR705" s="10"/>
      <c r="AS705" s="10"/>
      <c r="AT705" s="10"/>
      <c r="AU705" s="10"/>
      <c r="AV705" s="10"/>
      <c r="AW705" s="10"/>
      <c r="AX705" s="10"/>
      <c r="AY705" s="10"/>
      <c r="AZ705" s="10"/>
      <c r="BA705" s="10"/>
      <c r="BB705" s="10"/>
    </row>
    <row r="706" spans="28:54" s="12" customFormat="1" x14ac:dyDescent="0.25">
      <c r="AB706" s="10"/>
      <c r="AC706" s="10"/>
      <c r="AD706" s="10"/>
      <c r="AE706" s="10"/>
      <c r="AF706" s="10"/>
      <c r="AG706" s="10"/>
      <c r="AH706" s="10"/>
      <c r="AI706" s="10"/>
      <c r="AJ706" s="10"/>
      <c r="AK706" s="10"/>
      <c r="AL706" s="10"/>
      <c r="AM706" s="10"/>
      <c r="AN706" s="10"/>
      <c r="AO706" s="10"/>
      <c r="AP706" s="10"/>
      <c r="AQ706" s="10"/>
      <c r="AR706" s="10"/>
      <c r="AS706" s="10"/>
      <c r="AT706" s="10"/>
      <c r="AU706" s="10"/>
      <c r="AV706" s="10"/>
      <c r="AW706" s="10"/>
      <c r="AX706" s="10"/>
      <c r="AY706" s="10"/>
      <c r="AZ706" s="10"/>
      <c r="BA706" s="10"/>
      <c r="BB706" s="10"/>
    </row>
    <row r="707" spans="28:54" s="12" customFormat="1" x14ac:dyDescent="0.25">
      <c r="AB707" s="10"/>
      <c r="AC707" s="10"/>
      <c r="AD707" s="10"/>
      <c r="AE707" s="10"/>
      <c r="AF707" s="10"/>
      <c r="AG707" s="10"/>
      <c r="AH707" s="10"/>
      <c r="AI707" s="10"/>
      <c r="AJ707" s="10"/>
      <c r="AK707" s="10"/>
      <c r="AL707" s="10"/>
      <c r="AM707" s="10"/>
      <c r="AN707" s="10"/>
      <c r="AO707" s="10"/>
      <c r="AP707" s="10"/>
      <c r="AQ707" s="10"/>
      <c r="AR707" s="10"/>
      <c r="AS707" s="10"/>
      <c r="AT707" s="10"/>
      <c r="AU707" s="10"/>
      <c r="AV707" s="10"/>
      <c r="AW707" s="10"/>
      <c r="AX707" s="10"/>
      <c r="AY707" s="10"/>
      <c r="AZ707" s="10"/>
      <c r="BA707" s="10"/>
      <c r="BB707" s="10"/>
    </row>
    <row r="708" spans="28:54" s="12" customFormat="1" x14ac:dyDescent="0.25">
      <c r="AB708" s="10"/>
      <c r="AC708" s="10"/>
      <c r="AD708" s="10"/>
      <c r="AE708" s="10"/>
      <c r="AF708" s="10"/>
      <c r="AG708" s="10"/>
      <c r="AH708" s="10"/>
      <c r="AI708" s="10"/>
      <c r="AJ708" s="10"/>
      <c r="AK708" s="10"/>
      <c r="AL708" s="10"/>
      <c r="AM708" s="10"/>
      <c r="AN708" s="10"/>
      <c r="AO708" s="10"/>
      <c r="AP708" s="10"/>
      <c r="AQ708" s="10"/>
      <c r="AR708" s="10"/>
      <c r="AS708" s="10"/>
      <c r="AT708" s="10"/>
      <c r="AU708" s="10"/>
      <c r="AV708" s="10"/>
      <c r="AW708" s="10"/>
      <c r="AX708" s="10"/>
      <c r="AY708" s="10"/>
      <c r="AZ708" s="10"/>
      <c r="BA708" s="10"/>
      <c r="BB708" s="10"/>
    </row>
    <row r="709" spans="28:54" s="12" customFormat="1" x14ac:dyDescent="0.25">
      <c r="AB709" s="10"/>
      <c r="AC709" s="10"/>
      <c r="AD709" s="10"/>
      <c r="AE709" s="10"/>
      <c r="AF709" s="10"/>
      <c r="AG709" s="10"/>
      <c r="AH709" s="10"/>
      <c r="AI709" s="10"/>
      <c r="AJ709" s="10"/>
      <c r="AK709" s="10"/>
      <c r="AL709" s="10"/>
      <c r="AM709" s="10"/>
      <c r="AN709" s="10"/>
      <c r="AO709" s="10"/>
      <c r="AP709" s="10"/>
      <c r="AQ709" s="10"/>
      <c r="AR709" s="10"/>
      <c r="AS709" s="10"/>
      <c r="AT709" s="10"/>
      <c r="AU709" s="10"/>
      <c r="AV709" s="10"/>
      <c r="AW709" s="10"/>
      <c r="AX709" s="10"/>
      <c r="AY709" s="10"/>
      <c r="AZ709" s="10"/>
      <c r="BA709" s="10"/>
      <c r="BB709" s="10"/>
    </row>
    <row r="710" spans="28:54" s="12" customFormat="1" x14ac:dyDescent="0.25">
      <c r="AB710" s="10"/>
      <c r="AC710" s="10"/>
      <c r="AD710" s="10"/>
      <c r="AE710" s="10"/>
      <c r="AF710" s="10"/>
      <c r="AG710" s="10"/>
      <c r="AH710" s="10"/>
      <c r="AI710" s="10"/>
      <c r="AJ710" s="10"/>
      <c r="AK710" s="10"/>
      <c r="AL710" s="10"/>
      <c r="AM710" s="10"/>
      <c r="AN710" s="10"/>
      <c r="AO710" s="10"/>
      <c r="AP710" s="10"/>
      <c r="AQ710" s="10"/>
      <c r="AR710" s="10"/>
      <c r="AS710" s="10"/>
      <c r="AT710" s="10"/>
      <c r="AU710" s="10"/>
      <c r="AV710" s="10"/>
      <c r="AW710" s="10"/>
      <c r="AX710" s="10"/>
      <c r="AY710" s="10"/>
      <c r="AZ710" s="10"/>
      <c r="BA710" s="10"/>
      <c r="BB710" s="10"/>
    </row>
    <row r="711" spans="28:54" s="12" customFormat="1" x14ac:dyDescent="0.25">
      <c r="AB711" s="10"/>
      <c r="AC711" s="10"/>
      <c r="AD711" s="10"/>
      <c r="AE711" s="10"/>
      <c r="AF711" s="10"/>
      <c r="AG711" s="10"/>
      <c r="AH711" s="10"/>
      <c r="AI711" s="10"/>
      <c r="AJ711" s="10"/>
      <c r="AK711" s="10"/>
      <c r="AL711" s="10"/>
      <c r="AM711" s="10"/>
      <c r="AN711" s="10"/>
      <c r="AO711" s="10"/>
      <c r="AP711" s="10"/>
      <c r="AQ711" s="10"/>
      <c r="AR711" s="10"/>
      <c r="AS711" s="10"/>
      <c r="AT711" s="10"/>
      <c r="AU711" s="10"/>
      <c r="AV711" s="10"/>
      <c r="AW711" s="10"/>
      <c r="AX711" s="10"/>
      <c r="AY711" s="10"/>
      <c r="AZ711" s="10"/>
      <c r="BA711" s="10"/>
      <c r="BB711" s="10"/>
    </row>
    <row r="712" spans="28:54" s="12" customFormat="1" x14ac:dyDescent="0.25">
      <c r="AB712" s="10"/>
      <c r="AC712" s="10"/>
      <c r="AD712" s="10"/>
      <c r="AE712" s="10"/>
      <c r="AF712" s="10"/>
      <c r="AG712" s="10"/>
      <c r="AH712" s="10"/>
      <c r="AI712" s="10"/>
      <c r="AJ712" s="10"/>
      <c r="AK712" s="10"/>
      <c r="AL712" s="10"/>
      <c r="AM712" s="10"/>
      <c r="AN712" s="10"/>
      <c r="AO712" s="10"/>
      <c r="AP712" s="10"/>
      <c r="AQ712" s="10"/>
      <c r="AR712" s="10"/>
      <c r="AS712" s="10"/>
      <c r="AT712" s="10"/>
      <c r="AU712" s="10"/>
      <c r="AV712" s="10"/>
      <c r="AW712" s="10"/>
      <c r="AX712" s="10"/>
      <c r="AY712" s="10"/>
      <c r="AZ712" s="10"/>
      <c r="BA712" s="10"/>
      <c r="BB712" s="10"/>
    </row>
    <row r="713" spans="28:54" s="12" customFormat="1" x14ac:dyDescent="0.25">
      <c r="AB713" s="10"/>
      <c r="AC713" s="10"/>
      <c r="AD713" s="10"/>
      <c r="AE713" s="10"/>
      <c r="AF713" s="10"/>
      <c r="AG713" s="10"/>
      <c r="AH713" s="10"/>
      <c r="AI713" s="10"/>
      <c r="AJ713" s="10"/>
      <c r="AK713" s="10"/>
      <c r="AL713" s="10"/>
      <c r="AM713" s="10"/>
      <c r="AN713" s="10"/>
      <c r="AO713" s="10"/>
      <c r="AP713" s="10"/>
      <c r="AQ713" s="10"/>
      <c r="AR713" s="10"/>
      <c r="AS713" s="10"/>
      <c r="AT713" s="10"/>
      <c r="AU713" s="10"/>
      <c r="AV713" s="10"/>
      <c r="AW713" s="10"/>
      <c r="AX713" s="10"/>
      <c r="AY713" s="10"/>
      <c r="AZ713" s="10"/>
      <c r="BA713" s="10"/>
      <c r="BB713" s="10"/>
    </row>
    <row r="714" spans="28:54" s="12" customFormat="1" x14ac:dyDescent="0.25">
      <c r="AB714" s="10"/>
      <c r="AC714" s="10"/>
      <c r="AD714" s="10"/>
      <c r="AE714" s="10"/>
      <c r="AF714" s="10"/>
      <c r="AG714" s="10"/>
      <c r="AH714" s="10"/>
      <c r="AI714" s="10"/>
      <c r="AJ714" s="10"/>
      <c r="AK714" s="10"/>
      <c r="AL714" s="10"/>
      <c r="AM714" s="10"/>
      <c r="AN714" s="10"/>
      <c r="AO714" s="10"/>
      <c r="AP714" s="10"/>
      <c r="AQ714" s="10"/>
      <c r="AR714" s="10"/>
      <c r="AS714" s="10"/>
      <c r="AT714" s="10"/>
      <c r="AU714" s="10"/>
      <c r="AV714" s="10"/>
      <c r="AW714" s="10"/>
      <c r="AX714" s="10"/>
      <c r="AY714" s="10"/>
      <c r="AZ714" s="10"/>
      <c r="BA714" s="10"/>
      <c r="BB714" s="10"/>
    </row>
    <row r="715" spans="28:54" s="12" customFormat="1" x14ac:dyDescent="0.25">
      <c r="AB715" s="10"/>
      <c r="AC715" s="10"/>
      <c r="AD715" s="10"/>
      <c r="AE715" s="10"/>
      <c r="AF715" s="10"/>
      <c r="AG715" s="10"/>
      <c r="AH715" s="10"/>
      <c r="AI715" s="10"/>
      <c r="AJ715" s="10"/>
      <c r="AK715" s="10"/>
      <c r="AL715" s="10"/>
      <c r="AM715" s="10"/>
      <c r="AN715" s="10"/>
      <c r="AO715" s="10"/>
      <c r="AP715" s="10"/>
      <c r="AQ715" s="10"/>
      <c r="AR715" s="10"/>
      <c r="AS715" s="10"/>
      <c r="AT715" s="10"/>
      <c r="AU715" s="10"/>
      <c r="AV715" s="10"/>
      <c r="AW715" s="10"/>
      <c r="AX715" s="10"/>
      <c r="AY715" s="10"/>
      <c r="AZ715" s="10"/>
      <c r="BA715" s="10"/>
      <c r="BB715" s="10"/>
    </row>
    <row r="716" spans="28:54" s="12" customFormat="1" x14ac:dyDescent="0.25">
      <c r="AB716" s="10"/>
      <c r="AC716" s="10"/>
      <c r="AD716" s="10"/>
      <c r="AE716" s="10"/>
      <c r="AF716" s="10"/>
      <c r="AG716" s="10"/>
      <c r="AH716" s="10"/>
      <c r="AI716" s="10"/>
      <c r="AJ716" s="10"/>
      <c r="AK716" s="10"/>
      <c r="AL716" s="10"/>
      <c r="AM716" s="10"/>
      <c r="AN716" s="10"/>
      <c r="AO716" s="10"/>
      <c r="AP716" s="10"/>
      <c r="AQ716" s="10"/>
      <c r="AR716" s="10"/>
      <c r="AS716" s="10"/>
      <c r="AT716" s="10"/>
      <c r="AU716" s="10"/>
      <c r="AV716" s="10"/>
      <c r="AW716" s="10"/>
      <c r="AX716" s="10"/>
      <c r="AY716" s="10"/>
      <c r="AZ716" s="10"/>
      <c r="BA716" s="10"/>
      <c r="BB716" s="10"/>
    </row>
    <row r="717" spans="28:54" s="12" customFormat="1" x14ac:dyDescent="0.25">
      <c r="AB717" s="10"/>
      <c r="AC717" s="10"/>
      <c r="AD717" s="10"/>
      <c r="AE717" s="10"/>
      <c r="AF717" s="10"/>
      <c r="AG717" s="10"/>
      <c r="AH717" s="10"/>
      <c r="AI717" s="10"/>
      <c r="AJ717" s="10"/>
      <c r="AK717" s="10"/>
      <c r="AL717" s="10"/>
      <c r="AM717" s="10"/>
      <c r="AN717" s="10"/>
      <c r="AO717" s="10"/>
      <c r="AP717" s="10"/>
      <c r="AQ717" s="10"/>
      <c r="AR717" s="10"/>
      <c r="AS717" s="10"/>
      <c r="AT717" s="10"/>
      <c r="AU717" s="10"/>
      <c r="AV717" s="10"/>
      <c r="AW717" s="10"/>
      <c r="AX717" s="10"/>
      <c r="AY717" s="10"/>
      <c r="AZ717" s="10"/>
      <c r="BA717" s="10"/>
      <c r="BB717" s="10"/>
    </row>
    <row r="718" spans="28:54" s="12" customFormat="1" x14ac:dyDescent="0.25">
      <c r="AB718" s="10"/>
      <c r="AC718" s="10"/>
      <c r="AD718" s="10"/>
      <c r="AE718" s="10"/>
      <c r="AF718" s="10"/>
      <c r="AG718" s="10"/>
      <c r="AH718" s="10"/>
      <c r="AI718" s="10"/>
      <c r="AJ718" s="10"/>
      <c r="AK718" s="10"/>
      <c r="AL718" s="10"/>
      <c r="AM718" s="10"/>
      <c r="AN718" s="10"/>
      <c r="AO718" s="10"/>
      <c r="AP718" s="10"/>
      <c r="AQ718" s="10"/>
      <c r="AR718" s="10"/>
      <c r="AS718" s="10"/>
      <c r="AT718" s="10"/>
      <c r="AU718" s="10"/>
      <c r="AV718" s="10"/>
      <c r="AW718" s="10"/>
      <c r="AX718" s="10"/>
      <c r="AY718" s="10"/>
      <c r="AZ718" s="10"/>
      <c r="BA718" s="10"/>
      <c r="BB718" s="10"/>
    </row>
    <row r="719" spans="28:54" s="12" customFormat="1" x14ac:dyDescent="0.25">
      <c r="AB719" s="10"/>
      <c r="AC719" s="10"/>
      <c r="AD719" s="10"/>
      <c r="AE719" s="10"/>
      <c r="AF719" s="10"/>
      <c r="AG719" s="10"/>
      <c r="AH719" s="10"/>
      <c r="AI719" s="10"/>
      <c r="AJ719" s="10"/>
      <c r="AK719" s="10"/>
      <c r="AL719" s="10"/>
      <c r="AM719" s="10"/>
      <c r="AN719" s="10"/>
      <c r="AO719" s="10"/>
      <c r="AP719" s="10"/>
      <c r="AQ719" s="10"/>
      <c r="AR719" s="10"/>
      <c r="AS719" s="10"/>
      <c r="AT719" s="10"/>
      <c r="AU719" s="10"/>
      <c r="AV719" s="10"/>
      <c r="AW719" s="10"/>
      <c r="AX719" s="10"/>
      <c r="AY719" s="10"/>
      <c r="AZ719" s="10"/>
      <c r="BA719" s="10"/>
      <c r="BB719" s="10"/>
    </row>
    <row r="720" spans="28:54" s="12" customFormat="1" x14ac:dyDescent="0.25">
      <c r="AB720" s="10"/>
      <c r="AC720" s="10"/>
      <c r="AD720" s="10"/>
      <c r="AE720" s="10"/>
      <c r="AF720" s="10"/>
      <c r="AG720" s="10"/>
      <c r="AH720" s="10"/>
      <c r="AI720" s="10"/>
      <c r="AJ720" s="10"/>
      <c r="AK720" s="10"/>
      <c r="AL720" s="10"/>
      <c r="AM720" s="10"/>
      <c r="AN720" s="10"/>
      <c r="AO720" s="10"/>
      <c r="AP720" s="10"/>
      <c r="AQ720" s="10"/>
      <c r="AR720" s="10"/>
      <c r="AS720" s="10"/>
      <c r="AT720" s="10"/>
      <c r="AU720" s="10"/>
      <c r="AV720" s="10"/>
      <c r="AW720" s="10"/>
      <c r="AX720" s="10"/>
      <c r="AY720" s="10"/>
      <c r="AZ720" s="10"/>
      <c r="BA720" s="10"/>
      <c r="BB720" s="10"/>
    </row>
    <row r="721" spans="28:54" s="12" customFormat="1" x14ac:dyDescent="0.25">
      <c r="AB721" s="10"/>
      <c r="AC721" s="10"/>
      <c r="AD721" s="10"/>
      <c r="AE721" s="10"/>
      <c r="AF721" s="10"/>
      <c r="AG721" s="10"/>
      <c r="AH721" s="10"/>
      <c r="AI721" s="10"/>
      <c r="AJ721" s="10"/>
      <c r="AK721" s="10"/>
      <c r="AL721" s="10"/>
      <c r="AM721" s="10"/>
      <c r="AN721" s="10"/>
      <c r="AO721" s="10"/>
      <c r="AP721" s="10"/>
      <c r="AQ721" s="10"/>
      <c r="AR721" s="10"/>
      <c r="AS721" s="10"/>
      <c r="AT721" s="10"/>
      <c r="AU721" s="10"/>
      <c r="AV721" s="10"/>
      <c r="AW721" s="10"/>
      <c r="AX721" s="10"/>
      <c r="AY721" s="10"/>
      <c r="AZ721" s="10"/>
      <c r="BA721" s="10"/>
      <c r="BB721" s="10"/>
    </row>
    <row r="722" spans="28:54" s="12" customFormat="1" x14ac:dyDescent="0.25">
      <c r="AB722" s="10"/>
      <c r="AC722" s="10"/>
      <c r="AD722" s="10"/>
      <c r="AE722" s="10"/>
      <c r="AF722" s="10"/>
      <c r="AG722" s="10"/>
      <c r="AH722" s="10"/>
      <c r="AI722" s="10"/>
      <c r="AJ722" s="10"/>
      <c r="AK722" s="10"/>
      <c r="AL722" s="10"/>
      <c r="AM722" s="10"/>
      <c r="AN722" s="10"/>
      <c r="AO722" s="10"/>
      <c r="AP722" s="10"/>
      <c r="AQ722" s="10"/>
      <c r="AR722" s="10"/>
      <c r="AS722" s="10"/>
      <c r="AT722" s="10"/>
      <c r="AU722" s="10"/>
      <c r="AV722" s="10"/>
      <c r="AW722" s="10"/>
      <c r="AX722" s="10"/>
      <c r="AY722" s="10"/>
      <c r="AZ722" s="10"/>
      <c r="BA722" s="10"/>
      <c r="BB722" s="10"/>
    </row>
    <row r="723" spans="28:54" s="12" customFormat="1" x14ac:dyDescent="0.25">
      <c r="AB723" s="10"/>
      <c r="AC723" s="10"/>
      <c r="AD723" s="10"/>
      <c r="AE723" s="10"/>
      <c r="AF723" s="10"/>
      <c r="AG723" s="10"/>
      <c r="AH723" s="10"/>
      <c r="AI723" s="10"/>
      <c r="AJ723" s="10"/>
      <c r="AK723" s="10"/>
      <c r="AL723" s="10"/>
      <c r="AM723" s="10"/>
      <c r="AN723" s="10"/>
      <c r="AO723" s="10"/>
      <c r="AP723" s="10"/>
      <c r="AQ723" s="10"/>
      <c r="AR723" s="10"/>
      <c r="AS723" s="10"/>
      <c r="AT723" s="10"/>
      <c r="AU723" s="10"/>
      <c r="AV723" s="10"/>
      <c r="AW723" s="10"/>
      <c r="AX723" s="10"/>
      <c r="AY723" s="10"/>
      <c r="AZ723" s="10"/>
      <c r="BA723" s="10"/>
      <c r="BB723" s="10"/>
    </row>
    <row r="724" spans="28:54" s="12" customFormat="1" x14ac:dyDescent="0.25">
      <c r="AB724" s="10"/>
      <c r="AC724" s="10"/>
      <c r="AD724" s="10"/>
      <c r="AE724" s="10"/>
      <c r="AF724" s="10"/>
      <c r="AG724" s="10"/>
      <c r="AH724" s="10"/>
      <c r="AI724" s="10"/>
      <c r="AJ724" s="10"/>
      <c r="AK724" s="10"/>
      <c r="AL724" s="10"/>
      <c r="AM724" s="10"/>
      <c r="AN724" s="10"/>
      <c r="AO724" s="10"/>
      <c r="AP724" s="10"/>
      <c r="AQ724" s="10"/>
      <c r="AR724" s="10"/>
      <c r="AS724" s="10"/>
      <c r="AT724" s="10"/>
      <c r="AU724" s="10"/>
      <c r="AV724" s="10"/>
      <c r="AW724" s="10"/>
      <c r="AX724" s="10"/>
      <c r="AY724" s="10"/>
      <c r="AZ724" s="10"/>
      <c r="BA724" s="10"/>
      <c r="BB724" s="10"/>
    </row>
    <row r="725" spans="28:54" s="12" customFormat="1" x14ac:dyDescent="0.25">
      <c r="AB725" s="10"/>
      <c r="AC725" s="10"/>
      <c r="AD725" s="10"/>
      <c r="AE725" s="10"/>
      <c r="AF725" s="10"/>
      <c r="AG725" s="10"/>
      <c r="AH725" s="10"/>
      <c r="AI725" s="10"/>
      <c r="AJ725" s="10"/>
      <c r="AK725" s="10"/>
      <c r="AL725" s="10"/>
      <c r="AM725" s="10"/>
      <c r="AN725" s="10"/>
      <c r="AO725" s="10"/>
      <c r="AP725" s="10"/>
      <c r="AQ725" s="10"/>
      <c r="AR725" s="10"/>
      <c r="AS725" s="10"/>
      <c r="AT725" s="10"/>
      <c r="AU725" s="10"/>
      <c r="AV725" s="10"/>
      <c r="AW725" s="10"/>
      <c r="AX725" s="10"/>
      <c r="AY725" s="10"/>
      <c r="AZ725" s="10"/>
      <c r="BA725" s="10"/>
      <c r="BB725" s="10"/>
    </row>
    <row r="726" spans="28:54" s="12" customFormat="1" x14ac:dyDescent="0.25">
      <c r="AB726" s="10"/>
      <c r="AC726" s="10"/>
      <c r="AD726" s="10"/>
      <c r="AE726" s="10"/>
      <c r="AF726" s="10"/>
      <c r="AG726" s="10"/>
      <c r="AH726" s="10"/>
      <c r="AI726" s="10"/>
      <c r="AJ726" s="10"/>
      <c r="AK726" s="10"/>
      <c r="AL726" s="10"/>
      <c r="AM726" s="10"/>
      <c r="AN726" s="10"/>
      <c r="AO726" s="10"/>
      <c r="AP726" s="10"/>
      <c r="AQ726" s="10"/>
      <c r="AR726" s="10"/>
      <c r="AS726" s="10"/>
      <c r="AT726" s="10"/>
      <c r="AU726" s="10"/>
      <c r="AV726" s="10"/>
      <c r="AW726" s="10"/>
      <c r="AX726" s="10"/>
      <c r="AY726" s="10"/>
      <c r="AZ726" s="10"/>
      <c r="BA726" s="10"/>
      <c r="BB726" s="10"/>
    </row>
    <row r="727" spans="28:54" s="12" customFormat="1" x14ac:dyDescent="0.25">
      <c r="AB727" s="10"/>
      <c r="AC727" s="10"/>
      <c r="AD727" s="10"/>
      <c r="AE727" s="10"/>
      <c r="AF727" s="10"/>
      <c r="AG727" s="10"/>
      <c r="AH727" s="10"/>
      <c r="AI727" s="10"/>
      <c r="AJ727" s="10"/>
      <c r="AK727" s="10"/>
      <c r="AL727" s="10"/>
      <c r="AM727" s="10"/>
      <c r="AN727" s="10"/>
      <c r="AO727" s="10"/>
      <c r="AP727" s="10"/>
      <c r="AQ727" s="10"/>
      <c r="AR727" s="10"/>
      <c r="AS727" s="10"/>
      <c r="AT727" s="10"/>
      <c r="AU727" s="10"/>
      <c r="AV727" s="10"/>
      <c r="AW727" s="10"/>
      <c r="AX727" s="10"/>
      <c r="AY727" s="10"/>
      <c r="AZ727" s="10"/>
      <c r="BA727" s="10"/>
      <c r="BB727" s="10"/>
    </row>
    <row r="728" spans="28:54" s="12" customFormat="1" x14ac:dyDescent="0.25">
      <c r="AB728" s="10"/>
      <c r="AC728" s="10"/>
      <c r="AD728" s="10"/>
      <c r="AE728" s="10"/>
      <c r="AF728" s="10"/>
      <c r="AG728" s="10"/>
      <c r="AH728" s="10"/>
      <c r="AI728" s="10"/>
      <c r="AJ728" s="10"/>
      <c r="AK728" s="10"/>
      <c r="AL728" s="10"/>
      <c r="AM728" s="10"/>
      <c r="AN728" s="10"/>
      <c r="AO728" s="10"/>
      <c r="AP728" s="10"/>
      <c r="AQ728" s="10"/>
      <c r="AR728" s="10"/>
      <c r="AS728" s="10"/>
      <c r="AT728" s="10"/>
      <c r="AU728" s="10"/>
      <c r="AV728" s="10"/>
      <c r="AW728" s="10"/>
      <c r="AX728" s="10"/>
      <c r="AY728" s="10"/>
      <c r="AZ728" s="10"/>
      <c r="BA728" s="10"/>
      <c r="BB728" s="10"/>
    </row>
    <row r="729" spans="28:54" s="12" customFormat="1" x14ac:dyDescent="0.25">
      <c r="AB729" s="10"/>
      <c r="AC729" s="10"/>
      <c r="AD729" s="10"/>
      <c r="AE729" s="10"/>
      <c r="AF729" s="10"/>
      <c r="AG729" s="10"/>
      <c r="AH729" s="10"/>
      <c r="AI729" s="10"/>
      <c r="AJ729" s="10"/>
      <c r="AK729" s="10"/>
      <c r="AL729" s="10"/>
      <c r="AM729" s="10"/>
      <c r="AN729" s="10"/>
      <c r="AO729" s="10"/>
      <c r="AP729" s="10"/>
      <c r="AQ729" s="10"/>
      <c r="AR729" s="10"/>
      <c r="AS729" s="10"/>
      <c r="AT729" s="10"/>
      <c r="AU729" s="10"/>
      <c r="AV729" s="10"/>
      <c r="AW729" s="10"/>
      <c r="AX729" s="10"/>
      <c r="AY729" s="10"/>
      <c r="AZ729" s="10"/>
      <c r="BA729" s="10"/>
      <c r="BB729" s="10"/>
    </row>
    <row r="730" spans="28:54" s="12" customFormat="1" x14ac:dyDescent="0.25">
      <c r="AB730" s="10"/>
      <c r="AC730" s="10"/>
      <c r="AD730" s="10"/>
      <c r="AE730" s="10"/>
      <c r="AF730" s="10"/>
      <c r="AG730" s="10"/>
      <c r="AH730" s="10"/>
      <c r="AI730" s="10"/>
      <c r="AJ730" s="10"/>
      <c r="AK730" s="10"/>
      <c r="AL730" s="10"/>
      <c r="AM730" s="10"/>
      <c r="AN730" s="10"/>
      <c r="AO730" s="10"/>
      <c r="AP730" s="10"/>
      <c r="AQ730" s="10"/>
      <c r="AR730" s="10"/>
      <c r="AS730" s="10"/>
      <c r="AT730" s="10"/>
      <c r="AU730" s="10"/>
      <c r="AV730" s="10"/>
      <c r="AW730" s="10"/>
      <c r="AX730" s="10"/>
      <c r="AY730" s="10"/>
      <c r="AZ730" s="10"/>
      <c r="BA730" s="10"/>
      <c r="BB730" s="10"/>
    </row>
    <row r="731" spans="28:54" s="12" customFormat="1" x14ac:dyDescent="0.25">
      <c r="AB731" s="10"/>
      <c r="AC731" s="10"/>
      <c r="AD731" s="10"/>
      <c r="AE731" s="10"/>
      <c r="AF731" s="10"/>
      <c r="AG731" s="10"/>
      <c r="AH731" s="10"/>
      <c r="AI731" s="10"/>
      <c r="AJ731" s="10"/>
      <c r="AK731" s="10"/>
      <c r="AL731" s="10"/>
      <c r="AM731" s="10"/>
      <c r="AN731" s="10"/>
      <c r="AO731" s="10"/>
      <c r="AP731" s="10"/>
      <c r="AQ731" s="10"/>
      <c r="AR731" s="10"/>
      <c r="AS731" s="10"/>
      <c r="AT731" s="10"/>
      <c r="AU731" s="10"/>
      <c r="AV731" s="10"/>
      <c r="AW731" s="10"/>
      <c r="AX731" s="10"/>
      <c r="AY731" s="10"/>
      <c r="AZ731" s="10"/>
      <c r="BA731" s="10"/>
      <c r="BB731" s="10"/>
    </row>
    <row r="732" spans="28:54" s="12" customFormat="1" x14ac:dyDescent="0.25">
      <c r="AB732" s="10"/>
      <c r="AC732" s="10"/>
      <c r="AD732" s="10"/>
      <c r="AE732" s="10"/>
      <c r="AF732" s="10"/>
      <c r="AG732" s="10"/>
      <c r="AH732" s="10"/>
      <c r="AI732" s="10"/>
      <c r="AJ732" s="10"/>
      <c r="AK732" s="10"/>
      <c r="AL732" s="10"/>
      <c r="AM732" s="10"/>
      <c r="AN732" s="10"/>
      <c r="AO732" s="10"/>
      <c r="AP732" s="10"/>
      <c r="AQ732" s="10"/>
      <c r="AR732" s="10"/>
      <c r="AS732" s="10"/>
      <c r="AT732" s="10"/>
      <c r="AU732" s="10"/>
      <c r="AV732" s="10"/>
      <c r="AW732" s="10"/>
      <c r="AX732" s="10"/>
      <c r="AY732" s="10"/>
      <c r="AZ732" s="10"/>
      <c r="BA732" s="10"/>
      <c r="BB732" s="10"/>
    </row>
    <row r="733" spans="28:54" s="12" customFormat="1" x14ac:dyDescent="0.25">
      <c r="AB733" s="10"/>
      <c r="AC733" s="10"/>
      <c r="AD733" s="10"/>
      <c r="AE733" s="10"/>
      <c r="AF733" s="10"/>
      <c r="AG733" s="10"/>
      <c r="AH733" s="10"/>
      <c r="AI733" s="10"/>
      <c r="AJ733" s="10"/>
      <c r="AK733" s="10"/>
      <c r="AL733" s="10"/>
      <c r="AM733" s="10"/>
      <c r="AN733" s="10"/>
      <c r="AO733" s="10"/>
      <c r="AP733" s="10"/>
      <c r="AQ733" s="10"/>
      <c r="AR733" s="10"/>
      <c r="AS733" s="10"/>
      <c r="AT733" s="10"/>
      <c r="AU733" s="10"/>
      <c r="AV733" s="10"/>
      <c r="AW733" s="10"/>
      <c r="AX733" s="10"/>
      <c r="AY733" s="10"/>
      <c r="AZ733" s="10"/>
      <c r="BA733" s="10"/>
      <c r="BB733" s="10"/>
    </row>
    <row r="734" spans="28:54" s="12" customFormat="1" x14ac:dyDescent="0.25">
      <c r="AB734" s="10"/>
      <c r="AC734" s="10"/>
      <c r="AD734" s="10"/>
      <c r="AE734" s="10"/>
      <c r="AF734" s="10"/>
      <c r="AG734" s="10"/>
      <c r="AH734" s="10"/>
      <c r="AI734" s="10"/>
      <c r="AJ734" s="10"/>
      <c r="AK734" s="10"/>
      <c r="AL734" s="10"/>
      <c r="AM734" s="10"/>
      <c r="AN734" s="10"/>
      <c r="AO734" s="10"/>
      <c r="AP734" s="10"/>
      <c r="AQ734" s="10"/>
      <c r="AR734" s="10"/>
      <c r="AS734" s="10"/>
      <c r="AT734" s="10"/>
      <c r="AU734" s="10"/>
      <c r="AV734" s="10"/>
      <c r="AW734" s="10"/>
      <c r="AX734" s="10"/>
      <c r="AY734" s="10"/>
      <c r="AZ734" s="10"/>
      <c r="BA734" s="10"/>
      <c r="BB734" s="10"/>
    </row>
    <row r="735" spans="28:54" s="12" customFormat="1" x14ac:dyDescent="0.25">
      <c r="AB735" s="10"/>
      <c r="AC735" s="10"/>
      <c r="AD735" s="10"/>
      <c r="AE735" s="10"/>
      <c r="AF735" s="10"/>
      <c r="AG735" s="10"/>
      <c r="AH735" s="10"/>
      <c r="AI735" s="10"/>
      <c r="AJ735" s="10"/>
      <c r="AK735" s="10"/>
      <c r="AL735" s="10"/>
      <c r="AM735" s="10"/>
      <c r="AN735" s="10"/>
      <c r="AO735" s="10"/>
      <c r="AP735" s="10"/>
      <c r="AQ735" s="10"/>
      <c r="AR735" s="10"/>
      <c r="AS735" s="10"/>
      <c r="AT735" s="10"/>
      <c r="AU735" s="10"/>
      <c r="AV735" s="10"/>
      <c r="AW735" s="10"/>
      <c r="AX735" s="10"/>
      <c r="AY735" s="10"/>
      <c r="AZ735" s="10"/>
      <c r="BA735" s="10"/>
      <c r="BB735" s="10"/>
    </row>
    <row r="736" spans="28:54" s="12" customFormat="1" x14ac:dyDescent="0.25">
      <c r="AB736" s="10"/>
      <c r="AC736" s="10"/>
      <c r="AD736" s="10"/>
      <c r="AE736" s="10"/>
      <c r="AF736" s="10"/>
      <c r="AG736" s="10"/>
      <c r="AH736" s="10"/>
      <c r="AI736" s="10"/>
      <c r="AJ736" s="10"/>
      <c r="AK736" s="10"/>
      <c r="AL736" s="10"/>
      <c r="AM736" s="10"/>
      <c r="AN736" s="10"/>
      <c r="AO736" s="10"/>
      <c r="AP736" s="10"/>
      <c r="AQ736" s="10"/>
      <c r="AR736" s="10"/>
      <c r="AS736" s="10"/>
      <c r="AT736" s="10"/>
      <c r="AU736" s="10"/>
      <c r="AV736" s="10"/>
      <c r="AW736" s="10"/>
      <c r="AX736" s="10"/>
      <c r="AY736" s="10"/>
      <c r="AZ736" s="10"/>
      <c r="BA736" s="10"/>
      <c r="BB736" s="10"/>
    </row>
    <row r="737" spans="2:54" s="12" customFormat="1" x14ac:dyDescent="0.25">
      <c r="AB737" s="10"/>
      <c r="AC737" s="10"/>
      <c r="AD737" s="10"/>
      <c r="AE737" s="10"/>
      <c r="AF737" s="10"/>
      <c r="AG737" s="10"/>
      <c r="AH737" s="10"/>
      <c r="AI737" s="10"/>
      <c r="AJ737" s="10"/>
      <c r="AK737" s="10"/>
      <c r="AL737" s="10"/>
      <c r="AM737" s="10"/>
      <c r="AN737" s="10"/>
      <c r="AO737" s="10"/>
      <c r="AP737" s="10"/>
      <c r="AQ737" s="10"/>
      <c r="AR737" s="10"/>
      <c r="AS737" s="10"/>
      <c r="AT737" s="10"/>
      <c r="AU737" s="10"/>
      <c r="AV737" s="10"/>
      <c r="AW737" s="10"/>
      <c r="AX737" s="10"/>
      <c r="AY737" s="10"/>
      <c r="AZ737" s="10"/>
      <c r="BA737" s="10"/>
      <c r="BB737" s="10"/>
    </row>
    <row r="738" spans="2:54" s="12" customFormat="1" x14ac:dyDescent="0.25">
      <c r="AB738" s="10"/>
      <c r="AC738" s="10"/>
      <c r="AD738" s="10"/>
      <c r="AE738" s="10"/>
      <c r="AF738" s="10"/>
      <c r="AG738" s="10"/>
      <c r="AH738" s="10"/>
      <c r="AI738" s="10"/>
      <c r="AJ738" s="10"/>
      <c r="AK738" s="10"/>
      <c r="AL738" s="10"/>
      <c r="AM738" s="10"/>
      <c r="AN738" s="10"/>
      <c r="AO738" s="10"/>
      <c r="AP738" s="10"/>
      <c r="AQ738" s="10"/>
      <c r="AR738" s="10"/>
      <c r="AS738" s="10"/>
      <c r="AT738" s="10"/>
      <c r="AU738" s="10"/>
      <c r="AV738" s="10"/>
      <c r="AW738" s="10"/>
      <c r="AX738" s="10"/>
      <c r="AY738" s="10"/>
      <c r="AZ738" s="10"/>
      <c r="BA738" s="10"/>
      <c r="BB738" s="10"/>
    </row>
    <row r="739" spans="2:54" s="12" customFormat="1" x14ac:dyDescent="0.25">
      <c r="AB739" s="10"/>
      <c r="AC739" s="10"/>
      <c r="AD739" s="10"/>
      <c r="AE739" s="10"/>
      <c r="AF739" s="10"/>
      <c r="AG739" s="10"/>
      <c r="AH739" s="10"/>
      <c r="AI739" s="10"/>
      <c r="AJ739" s="10"/>
      <c r="AK739" s="10"/>
      <c r="AL739" s="10"/>
      <c r="AM739" s="10"/>
      <c r="AN739" s="10"/>
      <c r="AO739" s="10"/>
      <c r="AP739" s="10"/>
      <c r="AQ739" s="10"/>
      <c r="AR739" s="10"/>
      <c r="AS739" s="10"/>
      <c r="AT739" s="10"/>
      <c r="AU739" s="10"/>
      <c r="AV739" s="10"/>
      <c r="AW739" s="10"/>
      <c r="AX739" s="10"/>
      <c r="AY739" s="10"/>
      <c r="AZ739" s="10"/>
      <c r="BA739" s="10"/>
      <c r="BB739" s="10"/>
    </row>
    <row r="740" spans="2:54" s="12" customFormat="1" x14ac:dyDescent="0.25">
      <c r="AB740" s="10"/>
      <c r="AC740" s="10"/>
      <c r="AD740" s="10"/>
      <c r="AE740" s="10"/>
      <c r="AF740" s="10"/>
      <c r="AG740" s="10"/>
      <c r="AH740" s="10"/>
      <c r="AI740" s="10"/>
      <c r="AJ740" s="10"/>
      <c r="AK740" s="10"/>
      <c r="AL740" s="10"/>
      <c r="AM740" s="10"/>
      <c r="AN740" s="10"/>
      <c r="AO740" s="10"/>
      <c r="AP740" s="10"/>
      <c r="AQ740" s="10"/>
      <c r="AR740" s="10"/>
      <c r="AS740" s="10"/>
      <c r="AT740" s="10"/>
      <c r="AU740" s="10"/>
      <c r="AV740" s="10"/>
      <c r="AW740" s="10"/>
      <c r="AX740" s="10"/>
      <c r="AY740" s="10"/>
      <c r="AZ740" s="10"/>
      <c r="BA740" s="10"/>
      <c r="BB740" s="10"/>
    </row>
    <row r="741" spans="2:54" s="12" customFormat="1" x14ac:dyDescent="0.25">
      <c r="AB741" s="10"/>
      <c r="AC741" s="10"/>
      <c r="AD741" s="10"/>
      <c r="AE741" s="10"/>
      <c r="AF741" s="10"/>
      <c r="AG741" s="10"/>
      <c r="AH741" s="10"/>
      <c r="AI741" s="10"/>
      <c r="AJ741" s="10"/>
      <c r="AK741" s="10"/>
      <c r="AL741" s="10"/>
      <c r="AM741" s="10"/>
      <c r="AN741" s="10"/>
      <c r="AO741" s="10"/>
      <c r="AP741" s="10"/>
      <c r="AQ741" s="10"/>
      <c r="AR741" s="10"/>
      <c r="AS741" s="10"/>
      <c r="AT741" s="10"/>
      <c r="AU741" s="10"/>
      <c r="AV741" s="10"/>
      <c r="AW741" s="10"/>
      <c r="AX741" s="10"/>
      <c r="AY741" s="10"/>
      <c r="AZ741" s="10"/>
      <c r="BA741" s="10"/>
      <c r="BB741" s="10"/>
    </row>
    <row r="742" spans="2:54" s="12" customFormat="1" x14ac:dyDescent="0.25">
      <c r="AB742" s="10"/>
      <c r="AC742" s="10"/>
      <c r="AD742" s="10"/>
      <c r="AE742" s="10"/>
      <c r="AF742" s="10"/>
      <c r="AG742" s="10"/>
      <c r="AH742" s="10"/>
      <c r="AI742" s="10"/>
      <c r="AJ742" s="10"/>
      <c r="AK742" s="10"/>
      <c r="AL742" s="10"/>
      <c r="AM742" s="10"/>
      <c r="AN742" s="10"/>
      <c r="AO742" s="10"/>
      <c r="AP742" s="10"/>
      <c r="AQ742" s="10"/>
      <c r="AR742" s="10"/>
      <c r="AS742" s="10"/>
      <c r="AT742" s="10"/>
      <c r="AU742" s="10"/>
      <c r="AV742" s="10"/>
      <c r="AW742" s="10"/>
      <c r="AX742" s="10"/>
      <c r="AY742" s="10"/>
      <c r="AZ742" s="10"/>
      <c r="BA742" s="10"/>
      <c r="BB742" s="10"/>
    </row>
    <row r="743" spans="2:54" s="12" customFormat="1" x14ac:dyDescent="0.25">
      <c r="S743" s="8"/>
      <c r="T743" s="8"/>
      <c r="U743" s="8"/>
      <c r="V743" s="8"/>
      <c r="W743" s="8"/>
      <c r="X743" s="8"/>
      <c r="Y743" s="8"/>
      <c r="Z743" s="8"/>
      <c r="AB743" s="10"/>
      <c r="AC743" s="10"/>
      <c r="AD743" s="10"/>
      <c r="AE743" s="10"/>
      <c r="AF743" s="10"/>
      <c r="AG743" s="10"/>
      <c r="AH743" s="10"/>
      <c r="AI743" s="10"/>
      <c r="AJ743" s="10"/>
      <c r="AK743" s="10"/>
      <c r="AL743" s="10"/>
      <c r="AM743" s="10"/>
      <c r="AN743" s="10"/>
      <c r="AO743" s="10"/>
      <c r="AP743" s="10"/>
      <c r="AQ743" s="10"/>
      <c r="AR743" s="10"/>
      <c r="AS743" s="10"/>
      <c r="AT743" s="10"/>
      <c r="AU743" s="10"/>
      <c r="AV743" s="10"/>
      <c r="AW743" s="10"/>
      <c r="AX743" s="10"/>
      <c r="AY743" s="10"/>
      <c r="AZ743" s="10"/>
      <c r="BA743" s="10"/>
      <c r="BB743" s="10"/>
    </row>
    <row r="744" spans="2:54" s="12" customFormat="1" x14ac:dyDescent="0.25">
      <c r="S744" s="8"/>
      <c r="T744" s="8"/>
      <c r="U744" s="8"/>
      <c r="V744" s="8"/>
      <c r="W744" s="8"/>
      <c r="X744" s="8"/>
      <c r="Y744" s="8"/>
      <c r="Z744" s="8"/>
      <c r="AB744" s="10"/>
      <c r="AC744" s="10"/>
      <c r="AD744" s="10"/>
      <c r="AE744" s="10"/>
      <c r="AF744" s="10"/>
      <c r="AG744" s="10"/>
      <c r="AH744" s="10"/>
      <c r="AI744" s="10"/>
      <c r="AJ744" s="10"/>
      <c r="AK744" s="10"/>
      <c r="AL744" s="10"/>
      <c r="AM744" s="10"/>
      <c r="AN744" s="10"/>
      <c r="AO744" s="10"/>
      <c r="AP744" s="10"/>
      <c r="AQ744" s="10"/>
      <c r="AR744" s="10"/>
      <c r="AS744" s="10"/>
      <c r="AT744" s="10"/>
      <c r="AU744" s="10"/>
      <c r="AV744" s="10"/>
      <c r="AW744" s="10"/>
      <c r="AX744" s="10"/>
      <c r="AY744" s="10"/>
      <c r="AZ744" s="10"/>
      <c r="BA744" s="10"/>
      <c r="BB744" s="10"/>
    </row>
    <row r="745" spans="2:54" s="12" customFormat="1" x14ac:dyDescent="0.25">
      <c r="S745" s="8"/>
      <c r="T745" s="8"/>
      <c r="U745" s="8"/>
      <c r="V745" s="8"/>
      <c r="W745" s="8"/>
      <c r="X745" s="8"/>
      <c r="Y745" s="8"/>
      <c r="Z745" s="8"/>
      <c r="AB745" s="10"/>
      <c r="AC745" s="10"/>
      <c r="AD745" s="10"/>
      <c r="AE745" s="10"/>
      <c r="AF745" s="10"/>
      <c r="AG745" s="10"/>
      <c r="AH745" s="10"/>
      <c r="AI745" s="10"/>
      <c r="AJ745" s="10"/>
      <c r="AK745" s="10"/>
      <c r="AL745" s="10"/>
      <c r="AM745" s="10"/>
      <c r="AN745" s="10"/>
      <c r="AO745" s="10"/>
      <c r="AP745" s="10"/>
      <c r="AQ745" s="10"/>
      <c r="AR745" s="10"/>
      <c r="AS745" s="10"/>
      <c r="AT745" s="10"/>
      <c r="AU745" s="10"/>
      <c r="AV745" s="10"/>
      <c r="AW745" s="10"/>
      <c r="AX745" s="10"/>
      <c r="AY745" s="10"/>
      <c r="AZ745" s="10"/>
      <c r="BA745" s="10"/>
      <c r="BB745" s="10"/>
    </row>
    <row r="746" spans="2:54" s="12" customFormat="1" x14ac:dyDescent="0.25">
      <c r="S746" s="8"/>
      <c r="T746" s="8"/>
      <c r="U746" s="8"/>
      <c r="V746" s="8"/>
      <c r="W746" s="8"/>
      <c r="X746" s="8"/>
      <c r="Y746" s="8"/>
      <c r="Z746" s="8"/>
      <c r="AB746" s="10"/>
      <c r="AC746" s="10"/>
      <c r="AD746" s="10"/>
      <c r="AE746" s="10"/>
      <c r="AF746" s="10"/>
      <c r="AG746" s="10"/>
      <c r="AH746" s="10"/>
      <c r="AI746" s="10"/>
      <c r="AJ746" s="10"/>
      <c r="AK746" s="10"/>
      <c r="AL746" s="10"/>
      <c r="AM746" s="10"/>
      <c r="AN746" s="10"/>
      <c r="AO746" s="10"/>
      <c r="AP746" s="10"/>
      <c r="AQ746" s="10"/>
      <c r="AR746" s="10"/>
      <c r="AS746" s="10"/>
      <c r="AT746" s="10"/>
      <c r="AU746" s="10"/>
      <c r="AV746" s="10"/>
      <c r="AW746" s="10"/>
      <c r="AX746" s="10"/>
      <c r="AY746" s="10"/>
      <c r="AZ746" s="10"/>
      <c r="BA746" s="10"/>
      <c r="BB746" s="10"/>
    </row>
    <row r="747" spans="2:54" s="12" customFormat="1" x14ac:dyDescent="0.25">
      <c r="B747" s="8"/>
      <c r="C747" s="8"/>
      <c r="D747" s="8"/>
      <c r="E747" s="8"/>
      <c r="F747" s="8"/>
      <c r="G747" s="8"/>
      <c r="H747" s="8"/>
      <c r="I747" s="8"/>
      <c r="J747" s="8"/>
      <c r="K747" s="8"/>
      <c r="L747" s="8"/>
      <c r="M747" s="8"/>
      <c r="N747" s="8"/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B747" s="10"/>
      <c r="AC747" s="10"/>
      <c r="AD747" s="10"/>
      <c r="AE747" s="10"/>
      <c r="AF747" s="10"/>
      <c r="AG747" s="10"/>
      <c r="AH747" s="10"/>
      <c r="AI747" s="10"/>
      <c r="AJ747" s="10"/>
      <c r="AK747" s="10"/>
      <c r="AL747" s="10"/>
      <c r="AM747" s="10"/>
      <c r="AN747" s="10"/>
      <c r="AO747" s="10"/>
      <c r="AP747" s="10"/>
      <c r="AQ747" s="10"/>
      <c r="AR747" s="10"/>
      <c r="AS747" s="10"/>
      <c r="AT747" s="10"/>
      <c r="AU747" s="10"/>
      <c r="AV747" s="10"/>
      <c r="AW747" s="10"/>
      <c r="AX747" s="10"/>
      <c r="AY747" s="10"/>
      <c r="AZ747" s="10"/>
      <c r="BA747" s="10"/>
      <c r="BB747" s="10"/>
    </row>
    <row r="748" spans="2:54" s="12" customFormat="1" x14ac:dyDescent="0.25">
      <c r="B748" s="8"/>
      <c r="C748" s="8"/>
      <c r="D748" s="8"/>
      <c r="E748" s="8"/>
      <c r="F748" s="8"/>
      <c r="G748" s="8"/>
      <c r="H748" s="8"/>
      <c r="I748" s="8"/>
      <c r="J748" s="8"/>
      <c r="K748" s="8"/>
      <c r="L748" s="8"/>
      <c r="M748" s="8"/>
      <c r="N748" s="8"/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B748" s="10"/>
      <c r="AC748" s="10"/>
      <c r="AD748" s="10"/>
      <c r="AE748" s="10"/>
      <c r="AF748" s="10"/>
      <c r="AG748" s="10"/>
      <c r="AH748" s="10"/>
      <c r="AI748" s="10"/>
      <c r="AJ748" s="10"/>
      <c r="AK748" s="10"/>
      <c r="AL748" s="10"/>
      <c r="AM748" s="10"/>
      <c r="AN748" s="10"/>
      <c r="AO748" s="10"/>
      <c r="AP748" s="10"/>
      <c r="AQ748" s="10"/>
      <c r="AR748" s="10"/>
      <c r="AS748" s="10"/>
      <c r="AT748" s="10"/>
      <c r="AU748" s="10"/>
      <c r="AV748" s="10"/>
      <c r="AW748" s="10"/>
      <c r="AX748" s="10"/>
      <c r="AY748" s="10"/>
      <c r="AZ748" s="10"/>
      <c r="BA748" s="10"/>
      <c r="BB748" s="10"/>
    </row>
    <row r="749" spans="2:54" s="12" customFormat="1" x14ac:dyDescent="0.25">
      <c r="B749" s="8"/>
      <c r="C749" s="8"/>
      <c r="D749" s="8"/>
      <c r="E749" s="8"/>
      <c r="F749" s="8"/>
      <c r="G749" s="8"/>
      <c r="H749" s="8"/>
      <c r="I749" s="8"/>
      <c r="J749" s="8"/>
      <c r="K749" s="8"/>
      <c r="L749" s="8"/>
      <c r="M749" s="8"/>
      <c r="N749" s="8"/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B749" s="10"/>
      <c r="AC749" s="10"/>
      <c r="AD749" s="10"/>
      <c r="AE749" s="10"/>
      <c r="AF749" s="10"/>
      <c r="AG749" s="10"/>
      <c r="AH749" s="10"/>
      <c r="AI749" s="10"/>
      <c r="AJ749" s="10"/>
      <c r="AK749" s="10"/>
      <c r="AL749" s="10"/>
      <c r="AM749" s="10"/>
      <c r="AN749" s="10"/>
      <c r="AO749" s="10"/>
      <c r="AP749" s="10"/>
      <c r="AQ749" s="10"/>
      <c r="AR749" s="10"/>
      <c r="AS749" s="10"/>
      <c r="AT749" s="10"/>
      <c r="AU749" s="10"/>
      <c r="AV749" s="10"/>
      <c r="AW749" s="10"/>
      <c r="AX749" s="10"/>
      <c r="AY749" s="10"/>
      <c r="AZ749" s="10"/>
      <c r="BA749" s="10"/>
      <c r="BB749" s="10"/>
    </row>
    <row r="750" spans="2:54" s="12" customFormat="1" x14ac:dyDescent="0.25">
      <c r="B750" s="8"/>
      <c r="C750" s="8"/>
      <c r="D750" s="8"/>
      <c r="E750" s="8"/>
      <c r="F750" s="8"/>
      <c r="G750" s="8"/>
      <c r="H750" s="8"/>
      <c r="I750" s="8"/>
      <c r="J750" s="8"/>
      <c r="K750" s="8"/>
      <c r="L750" s="8"/>
      <c r="M750" s="8"/>
      <c r="N750" s="8"/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B750" s="10"/>
      <c r="AC750" s="10"/>
      <c r="AD750" s="10"/>
      <c r="AE750" s="10"/>
      <c r="AF750" s="10"/>
      <c r="AG750" s="10"/>
      <c r="AH750" s="10"/>
      <c r="AI750" s="10"/>
      <c r="AJ750" s="10"/>
      <c r="AK750" s="10"/>
      <c r="AL750" s="10"/>
      <c r="AM750" s="10"/>
      <c r="AN750" s="10"/>
      <c r="AO750" s="10"/>
      <c r="AP750" s="10"/>
      <c r="AQ750" s="10"/>
      <c r="AR750" s="10"/>
      <c r="AS750" s="10"/>
      <c r="AT750" s="10"/>
      <c r="AU750" s="10"/>
      <c r="AV750" s="10"/>
      <c r="AW750" s="10"/>
      <c r="AX750" s="10"/>
      <c r="AY750" s="10"/>
      <c r="AZ750" s="10"/>
      <c r="BA750" s="10"/>
      <c r="BB750" s="10"/>
    </row>
    <row r="751" spans="2:54" s="12" customFormat="1" x14ac:dyDescent="0.25">
      <c r="B751" s="8"/>
      <c r="C751" s="8"/>
      <c r="D751" s="8"/>
      <c r="E751" s="8"/>
      <c r="F751" s="8"/>
      <c r="G751" s="8"/>
      <c r="H751" s="8"/>
      <c r="I751" s="8"/>
      <c r="J751" s="8"/>
      <c r="K751" s="8"/>
      <c r="L751" s="8"/>
      <c r="M751" s="8"/>
      <c r="N751" s="8"/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B751" s="10"/>
      <c r="AC751" s="10"/>
      <c r="AD751" s="10"/>
      <c r="AE751" s="10"/>
      <c r="AF751" s="10"/>
      <c r="AG751" s="10"/>
      <c r="AH751" s="10"/>
      <c r="AI751" s="10"/>
      <c r="AJ751" s="10"/>
      <c r="AK751" s="10"/>
      <c r="AL751" s="10"/>
      <c r="AM751" s="10"/>
      <c r="AN751" s="10"/>
      <c r="AO751" s="10"/>
      <c r="AP751" s="10"/>
      <c r="AQ751" s="10"/>
      <c r="AR751" s="10"/>
      <c r="AS751" s="10"/>
      <c r="AT751" s="10"/>
      <c r="AU751" s="10"/>
      <c r="AV751" s="10"/>
      <c r="AW751" s="10"/>
      <c r="AX751" s="10"/>
      <c r="AY751" s="10"/>
      <c r="AZ751" s="10"/>
      <c r="BA751" s="10"/>
      <c r="BB751" s="10"/>
    </row>
    <row r="752" spans="2:54" s="12" customFormat="1" x14ac:dyDescent="0.25">
      <c r="B752" s="8"/>
      <c r="C752" s="8"/>
      <c r="D752" s="8"/>
      <c r="E752" s="8"/>
      <c r="F752" s="8"/>
      <c r="G752" s="8"/>
      <c r="H752" s="8"/>
      <c r="I752" s="8"/>
      <c r="J752" s="8"/>
      <c r="K752" s="8"/>
      <c r="L752" s="8"/>
      <c r="M752" s="8"/>
      <c r="N752" s="8"/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B752" s="10"/>
      <c r="AC752" s="10"/>
      <c r="AD752" s="10"/>
      <c r="AE752" s="10"/>
      <c r="AF752" s="10"/>
      <c r="AG752" s="10"/>
      <c r="AH752" s="10"/>
      <c r="AI752" s="10"/>
      <c r="AJ752" s="10"/>
      <c r="AK752" s="10"/>
      <c r="AL752" s="10"/>
      <c r="AM752" s="10"/>
      <c r="AN752" s="10"/>
      <c r="AO752" s="10"/>
      <c r="AP752" s="10"/>
      <c r="AQ752" s="10"/>
      <c r="AR752" s="10"/>
      <c r="AS752" s="10"/>
      <c r="AT752" s="10"/>
      <c r="AU752" s="10"/>
      <c r="AV752" s="10"/>
      <c r="AW752" s="10"/>
      <c r="AX752" s="10"/>
      <c r="AY752" s="10"/>
      <c r="AZ752" s="10"/>
      <c r="BA752" s="10"/>
      <c r="BB752" s="10"/>
    </row>
    <row r="753" spans="1:54" s="12" customFormat="1" x14ac:dyDescent="0.25">
      <c r="B753" s="8"/>
      <c r="C753" s="8"/>
      <c r="D753" s="8"/>
      <c r="E753" s="8"/>
      <c r="F753" s="8"/>
      <c r="G753" s="8"/>
      <c r="H753" s="8"/>
      <c r="I753" s="8"/>
      <c r="J753" s="8"/>
      <c r="K753" s="8"/>
      <c r="L753" s="8"/>
      <c r="M753" s="8"/>
      <c r="N753" s="8"/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B753" s="10"/>
      <c r="AC753" s="10"/>
      <c r="AD753" s="10"/>
      <c r="AE753" s="10"/>
      <c r="AF753" s="10"/>
      <c r="AG753" s="10"/>
      <c r="AH753" s="10"/>
      <c r="AI753" s="10"/>
      <c r="AJ753" s="10"/>
      <c r="AK753" s="10"/>
      <c r="AL753" s="10"/>
      <c r="AM753" s="10"/>
      <c r="AN753" s="10"/>
      <c r="AO753" s="10"/>
      <c r="AP753" s="10"/>
      <c r="AQ753" s="10"/>
      <c r="AR753" s="10"/>
      <c r="AS753" s="10"/>
      <c r="AT753" s="10"/>
      <c r="AU753" s="10"/>
      <c r="AV753" s="10"/>
      <c r="AW753" s="10"/>
      <c r="AX753" s="10"/>
      <c r="AY753" s="10"/>
      <c r="AZ753" s="10"/>
      <c r="BA753" s="10"/>
      <c r="BB753" s="10"/>
    </row>
    <row r="754" spans="1:54" s="12" customFormat="1" x14ac:dyDescent="0.25">
      <c r="B754" s="8"/>
      <c r="C754" s="8"/>
      <c r="D754" s="8"/>
      <c r="E754" s="8"/>
      <c r="F754" s="8"/>
      <c r="G754" s="8"/>
      <c r="H754" s="8"/>
      <c r="I754" s="8"/>
      <c r="J754" s="8"/>
      <c r="K754" s="8"/>
      <c r="L754" s="8"/>
      <c r="M754" s="8"/>
      <c r="N754" s="8"/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B754" s="10"/>
      <c r="AC754" s="10"/>
      <c r="AD754" s="10"/>
      <c r="AE754" s="10"/>
      <c r="AF754" s="10"/>
      <c r="AG754" s="10"/>
      <c r="AH754" s="10"/>
      <c r="AI754" s="10"/>
      <c r="AJ754" s="10"/>
      <c r="AK754" s="10"/>
      <c r="AL754" s="10"/>
      <c r="AM754" s="10"/>
      <c r="AN754" s="10"/>
      <c r="AO754" s="10"/>
      <c r="AP754" s="10"/>
      <c r="AQ754" s="10"/>
      <c r="AR754" s="10"/>
      <c r="AS754" s="10"/>
      <c r="AT754" s="10"/>
      <c r="AU754" s="10"/>
      <c r="AV754" s="10"/>
      <c r="AW754" s="10"/>
      <c r="AX754" s="10"/>
      <c r="AY754" s="10"/>
      <c r="AZ754" s="10"/>
      <c r="BA754" s="10"/>
      <c r="BB754" s="10"/>
    </row>
    <row r="755" spans="1:54" s="12" customFormat="1" x14ac:dyDescent="0.25">
      <c r="B755" s="8"/>
      <c r="C755" s="8"/>
      <c r="D755" s="8"/>
      <c r="E755" s="8"/>
      <c r="F755" s="8"/>
      <c r="G755" s="8"/>
      <c r="H755" s="8"/>
      <c r="I755" s="8"/>
      <c r="J755" s="8"/>
      <c r="K755" s="8"/>
      <c r="L755" s="8"/>
      <c r="M755" s="8"/>
      <c r="N755" s="8"/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B755" s="10"/>
      <c r="AC755" s="10"/>
      <c r="AD755" s="10"/>
      <c r="AE755" s="10"/>
      <c r="AF755" s="10"/>
      <c r="AG755" s="10"/>
      <c r="AH755" s="10"/>
      <c r="AI755" s="10"/>
      <c r="AJ755" s="10"/>
      <c r="AK755" s="10"/>
      <c r="AL755" s="10"/>
      <c r="AM755" s="10"/>
      <c r="AN755" s="10"/>
      <c r="AO755" s="10"/>
      <c r="AP755" s="10"/>
      <c r="AQ755" s="10"/>
      <c r="AR755" s="10"/>
      <c r="AS755" s="10"/>
      <c r="AT755" s="10"/>
      <c r="AU755" s="10"/>
      <c r="AV755" s="10"/>
      <c r="AW755" s="10"/>
      <c r="AX755" s="10"/>
      <c r="AY755" s="10"/>
      <c r="AZ755" s="10"/>
      <c r="BA755" s="10"/>
      <c r="BB755" s="10"/>
    </row>
    <row r="756" spans="1:54" s="12" customFormat="1" x14ac:dyDescent="0.25">
      <c r="B756" s="8"/>
      <c r="C756" s="8"/>
      <c r="D756" s="8"/>
      <c r="E756" s="8"/>
      <c r="F756" s="8"/>
      <c r="G756" s="8"/>
      <c r="H756" s="8"/>
      <c r="I756" s="8"/>
      <c r="J756" s="8"/>
      <c r="K756" s="8"/>
      <c r="L756" s="8"/>
      <c r="M756" s="8"/>
      <c r="N756" s="8"/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B756" s="10"/>
      <c r="AC756" s="10"/>
      <c r="AD756" s="10"/>
      <c r="AE756" s="10"/>
      <c r="AF756" s="10"/>
      <c r="AG756" s="10"/>
      <c r="AH756" s="10"/>
      <c r="AI756" s="10"/>
      <c r="AJ756" s="10"/>
      <c r="AK756" s="10"/>
      <c r="AL756" s="10"/>
      <c r="AM756" s="10"/>
      <c r="AN756" s="10"/>
      <c r="AO756" s="10"/>
      <c r="AP756" s="10"/>
      <c r="AQ756" s="10"/>
      <c r="AR756" s="10"/>
      <c r="AS756" s="10"/>
      <c r="AT756" s="10"/>
      <c r="AU756" s="10"/>
      <c r="AV756" s="10"/>
      <c r="AW756" s="10"/>
      <c r="AX756" s="10"/>
      <c r="AY756" s="10"/>
      <c r="AZ756" s="10"/>
      <c r="BA756" s="10"/>
      <c r="BB756" s="10"/>
    </row>
    <row r="757" spans="1:54" s="12" customFormat="1" x14ac:dyDescent="0.25">
      <c r="A757" s="8"/>
      <c r="B757" s="8"/>
      <c r="C757" s="8"/>
      <c r="D757" s="8"/>
      <c r="E757" s="8"/>
      <c r="F757" s="8"/>
      <c r="G757" s="8"/>
      <c r="H757" s="8"/>
      <c r="I757" s="8"/>
      <c r="J757" s="8"/>
      <c r="K757" s="8"/>
      <c r="L757" s="8"/>
      <c r="M757" s="8"/>
      <c r="N757" s="8"/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10"/>
      <c r="AC757" s="10"/>
      <c r="AD757" s="10"/>
      <c r="AE757" s="10"/>
      <c r="AF757" s="10"/>
      <c r="AG757" s="10"/>
      <c r="AH757" s="10"/>
      <c r="AI757" s="10"/>
      <c r="AJ757" s="10"/>
      <c r="AK757" s="10"/>
      <c r="AL757" s="10"/>
      <c r="AM757" s="10"/>
      <c r="AN757" s="10"/>
      <c r="AO757" s="10"/>
      <c r="AP757" s="10"/>
      <c r="AQ757" s="10"/>
      <c r="AR757" s="10"/>
      <c r="AS757" s="10"/>
      <c r="AT757" s="10"/>
      <c r="AU757" s="10"/>
      <c r="AV757" s="10"/>
      <c r="AW757" s="10"/>
      <c r="AX757" s="10"/>
      <c r="AY757" s="10"/>
      <c r="AZ757" s="10"/>
      <c r="BA757" s="10"/>
      <c r="BB757" s="10"/>
    </row>
    <row r="758" spans="1:54" s="12" customFormat="1" x14ac:dyDescent="0.25">
      <c r="A758" s="8"/>
      <c r="B758" s="8"/>
      <c r="C758" s="8"/>
      <c r="D758" s="8"/>
      <c r="E758" s="8"/>
      <c r="F758" s="8"/>
      <c r="G758" s="8"/>
      <c r="H758" s="8"/>
      <c r="I758" s="8"/>
      <c r="J758" s="8"/>
      <c r="K758" s="8"/>
      <c r="L758" s="8"/>
      <c r="M758" s="8"/>
      <c r="N758" s="8"/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10"/>
      <c r="AC758" s="10"/>
      <c r="AD758" s="10"/>
      <c r="AE758" s="10"/>
      <c r="AF758" s="10"/>
      <c r="AG758" s="10"/>
      <c r="AH758" s="10"/>
      <c r="AI758" s="10"/>
      <c r="AJ758" s="10"/>
      <c r="AK758" s="10"/>
      <c r="AL758" s="10"/>
      <c r="AM758" s="10"/>
      <c r="AN758" s="10"/>
      <c r="AO758" s="10"/>
      <c r="AP758" s="10"/>
      <c r="AQ758" s="10"/>
      <c r="AR758" s="10"/>
      <c r="AS758" s="10"/>
      <c r="AT758" s="10"/>
      <c r="AU758" s="10"/>
      <c r="AV758" s="10"/>
      <c r="AW758" s="10"/>
      <c r="AX758" s="10"/>
      <c r="AY758" s="10"/>
      <c r="AZ758" s="10"/>
      <c r="BA758" s="10"/>
      <c r="BB758" s="10"/>
    </row>
    <row r="759" spans="1:54" s="12" customFormat="1" x14ac:dyDescent="0.25">
      <c r="A759" s="8"/>
      <c r="B759" s="8"/>
      <c r="C759" s="8"/>
      <c r="D759" s="8"/>
      <c r="E759" s="8"/>
      <c r="F759" s="8"/>
      <c r="G759" s="8"/>
      <c r="H759" s="8"/>
      <c r="I759" s="8"/>
      <c r="J759" s="8"/>
      <c r="K759" s="8"/>
      <c r="L759" s="8"/>
      <c r="M759" s="8"/>
      <c r="N759" s="8"/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10"/>
      <c r="AC759" s="10"/>
      <c r="AD759" s="10"/>
      <c r="AE759" s="10"/>
      <c r="AF759" s="10"/>
      <c r="AG759" s="10"/>
      <c r="AH759" s="10"/>
      <c r="AI759" s="10"/>
      <c r="AJ759" s="10"/>
      <c r="AK759" s="10"/>
      <c r="AL759" s="10"/>
      <c r="AM759" s="10"/>
      <c r="AN759" s="10"/>
      <c r="AO759" s="10"/>
      <c r="AP759" s="10"/>
      <c r="AQ759" s="10"/>
      <c r="AR759" s="10"/>
      <c r="AS759" s="10"/>
      <c r="AT759" s="10"/>
      <c r="AU759" s="10"/>
      <c r="AV759" s="10"/>
      <c r="AW759" s="10"/>
      <c r="AX759" s="10"/>
      <c r="AY759" s="10"/>
      <c r="AZ759" s="10"/>
      <c r="BA759" s="10"/>
      <c r="BB759" s="10"/>
    </row>
    <row r="760" spans="1:54" s="12" customFormat="1" x14ac:dyDescent="0.25">
      <c r="A760" s="8"/>
      <c r="B760" s="8"/>
      <c r="C760" s="8"/>
      <c r="D760" s="8"/>
      <c r="E760" s="8"/>
      <c r="F760" s="8"/>
      <c r="G760" s="8"/>
      <c r="H760" s="8"/>
      <c r="I760" s="8"/>
      <c r="J760" s="8"/>
      <c r="K760" s="8"/>
      <c r="L760" s="8"/>
      <c r="M760" s="8"/>
      <c r="N760" s="8"/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10"/>
      <c r="AC760" s="10"/>
      <c r="AD760" s="10"/>
      <c r="AE760" s="10"/>
      <c r="AF760" s="10"/>
      <c r="AG760" s="10"/>
      <c r="AH760" s="10"/>
      <c r="AI760" s="10"/>
      <c r="AJ760" s="10"/>
      <c r="AK760" s="10"/>
      <c r="AL760" s="10"/>
      <c r="AM760" s="10"/>
      <c r="AN760" s="10"/>
      <c r="AO760" s="10"/>
      <c r="AP760" s="10"/>
      <c r="AQ760" s="10"/>
      <c r="AR760" s="10"/>
      <c r="AS760" s="10"/>
      <c r="AT760" s="10"/>
      <c r="AU760" s="10"/>
      <c r="AV760" s="10"/>
      <c r="AW760" s="10"/>
      <c r="AX760" s="10"/>
      <c r="AY760" s="10"/>
      <c r="AZ760" s="10"/>
      <c r="BA760" s="10"/>
      <c r="BB760" s="10"/>
    </row>
    <row r="761" spans="1:54" s="12" customFormat="1" x14ac:dyDescent="0.25">
      <c r="A761" s="8"/>
      <c r="B761" s="8"/>
      <c r="C761" s="8"/>
      <c r="D761" s="8"/>
      <c r="E761" s="8"/>
      <c r="F761" s="8"/>
      <c r="G761" s="8"/>
      <c r="H761" s="8"/>
      <c r="I761" s="8"/>
      <c r="J761" s="8"/>
      <c r="K761" s="8"/>
      <c r="L761" s="8"/>
      <c r="M761" s="8"/>
      <c r="N761" s="8"/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10"/>
      <c r="AC761" s="10"/>
      <c r="AD761" s="10"/>
      <c r="AE761" s="10"/>
      <c r="AF761" s="10"/>
      <c r="AG761" s="10"/>
      <c r="AH761" s="10"/>
      <c r="AI761" s="10"/>
      <c r="AJ761" s="10"/>
      <c r="AK761" s="10"/>
      <c r="AL761" s="10"/>
      <c r="AM761" s="10"/>
      <c r="AN761" s="10"/>
      <c r="AO761" s="10"/>
      <c r="AP761" s="10"/>
      <c r="AQ761" s="10"/>
      <c r="AR761" s="10"/>
      <c r="AS761" s="10"/>
      <c r="AT761" s="10"/>
      <c r="AU761" s="10"/>
      <c r="AV761" s="10"/>
      <c r="AW761" s="10"/>
      <c r="AX761" s="10"/>
      <c r="AY761" s="10"/>
      <c r="AZ761" s="10"/>
      <c r="BA761" s="10"/>
      <c r="BB761" s="10"/>
    </row>
  </sheetData>
  <mergeCells count="81">
    <mergeCell ref="A3:C3"/>
    <mergeCell ref="A2:C2"/>
    <mergeCell ref="X5:Y5"/>
    <mergeCell ref="X8:Y8"/>
    <mergeCell ref="N8:O8"/>
    <mergeCell ref="R7:W7"/>
    <mergeCell ref="R8:W8"/>
    <mergeCell ref="X7:Y7"/>
    <mergeCell ref="X6:Y6"/>
    <mergeCell ref="N2:O2"/>
    <mergeCell ref="P7:Q8"/>
    <mergeCell ref="M3:N3"/>
    <mergeCell ref="P4:Q4"/>
    <mergeCell ref="P5:Q6"/>
    <mergeCell ref="U47:V47"/>
    <mergeCell ref="S49:X50"/>
    <mergeCell ref="W47:X47"/>
    <mergeCell ref="U43:V43"/>
    <mergeCell ref="W43:X43"/>
    <mergeCell ref="U44:V44"/>
    <mergeCell ref="U45:V45"/>
    <mergeCell ref="W46:X46"/>
    <mergeCell ref="W45:X45"/>
    <mergeCell ref="W44:X44"/>
    <mergeCell ref="U46:V46"/>
    <mergeCell ref="B40:F40"/>
    <mergeCell ref="E11:F11"/>
    <mergeCell ref="C11:D11"/>
    <mergeCell ref="A38:B38"/>
    <mergeCell ref="N7:O7"/>
    <mergeCell ref="C21:D21"/>
    <mergeCell ref="N11:O11"/>
    <mergeCell ref="A31:B31"/>
    <mergeCell ref="L21:M21"/>
    <mergeCell ref="J21:K21"/>
    <mergeCell ref="N21:O21"/>
    <mergeCell ref="F7:G7"/>
    <mergeCell ref="F8:G8"/>
    <mergeCell ref="R5:T6"/>
    <mergeCell ref="U5:W5"/>
    <mergeCell ref="S21:T21"/>
    <mergeCell ref="Q21:R21"/>
    <mergeCell ref="Z41:AD41"/>
    <mergeCell ref="R9:W9"/>
    <mergeCell ref="Q11:R11"/>
    <mergeCell ref="S11:T11"/>
    <mergeCell ref="U21:V21"/>
    <mergeCell ref="S41:X41"/>
    <mergeCell ref="X9:Y9"/>
    <mergeCell ref="U11:V11"/>
    <mergeCell ref="K4:O6"/>
    <mergeCell ref="A6:C6"/>
    <mergeCell ref="A5:C5"/>
    <mergeCell ref="A4:C4"/>
    <mergeCell ref="A37:B37"/>
    <mergeCell ref="A32:A36"/>
    <mergeCell ref="E21:F21"/>
    <mergeCell ref="J11:K11"/>
    <mergeCell ref="L11:M11"/>
    <mergeCell ref="G11:H11"/>
    <mergeCell ref="G21:H21"/>
    <mergeCell ref="X2:Y2"/>
    <mergeCell ref="X3:Y3"/>
    <mergeCell ref="Z2:AA2"/>
    <mergeCell ref="R3:T4"/>
    <mergeCell ref="U3:W3"/>
    <mergeCell ref="U4:W4"/>
    <mergeCell ref="X4:Y4"/>
    <mergeCell ref="Z3:AA3"/>
    <mergeCell ref="Z4:AA4"/>
    <mergeCell ref="R2:W2"/>
    <mergeCell ref="AP8:AQ8"/>
    <mergeCell ref="U6:W6"/>
    <mergeCell ref="Z5:AA5"/>
    <mergeCell ref="Z9:AA9"/>
    <mergeCell ref="Z6:AA6"/>
    <mergeCell ref="AP5:AQ5"/>
    <mergeCell ref="AH7:AI7"/>
    <mergeCell ref="AH6:AI6"/>
    <mergeCell ref="Z8:AA8"/>
    <mergeCell ref="Z7:AA7"/>
  </mergeCells>
  <conditionalFormatting sqref="AH6:AI7 X7:AA7 AZ7">
    <cfRule type="cellIs" dxfId="23" priority="9" stopIfTrue="1" operator="greaterThanOrEqual">
      <formula>1</formula>
    </cfRule>
  </conditionalFormatting>
  <conditionalFormatting sqref="X8:AA9 X5:AA5 X3:AA3 AZ3 AZ5 AZ8:AZ9">
    <cfRule type="cellIs" dxfId="22" priority="10" stopIfTrue="1" operator="greaterThanOrEqual">
      <formula>7</formula>
    </cfRule>
    <cfRule type="cellIs" dxfId="21" priority="11" stopIfTrue="1" operator="equal">
      <formula>6</formula>
    </cfRule>
  </conditionalFormatting>
  <conditionalFormatting sqref="N8">
    <cfRule type="cellIs" dxfId="20" priority="12" stopIfTrue="1" operator="lessThan">
      <formula>1.33</formula>
    </cfRule>
  </conditionalFormatting>
  <conditionalFormatting sqref="F8">
    <cfRule type="cellIs" dxfId="19" priority="13" stopIfTrue="1" operator="lessThan">
      <formula>1.67</formula>
    </cfRule>
  </conditionalFormatting>
  <conditionalFormatting sqref="G11:H11 U21:V21 U11:V11 G21:H21 N21:O21 AH11:AI11 AV21:AW21 AV11:AW11 AH21:AI21 AO21:AP21">
    <cfRule type="cellIs" dxfId="18" priority="15" stopIfTrue="1" operator="notEqual">
      <formula>IF(#REF!&gt;=2,"","")</formula>
    </cfRule>
  </conditionalFormatting>
  <conditionalFormatting sqref="N11:O11 AO11:AP11">
    <cfRule type="cellIs" dxfId="17" priority="16" stopIfTrue="1" operator="notEqual">
      <formula>IF(#REF!&gt;=2,"","")</formula>
    </cfRule>
  </conditionalFormatting>
  <conditionalFormatting sqref="BW32:BW36">
    <cfRule type="cellIs" dxfId="16" priority="19" stopIfTrue="1" operator="notBetween">
      <formula>$L$2</formula>
      <formula>$Q$2</formula>
    </cfRule>
  </conditionalFormatting>
  <conditionalFormatting sqref="K2">
    <cfRule type="cellIs" dxfId="15" priority="52" stopIfTrue="1" operator="equal">
      <formula>IF($K$9=3, "")</formula>
    </cfRule>
  </conditionalFormatting>
  <conditionalFormatting sqref="L2">
    <cfRule type="cellIs" dxfId="14" priority="53" stopIfTrue="1" operator="equal">
      <formula>IF($K$9=1,"LSL:",IF($K$9=2,"MIN:",""))</formula>
    </cfRule>
  </conditionalFormatting>
  <conditionalFormatting sqref="P2">
    <cfRule type="cellIs" dxfId="13" priority="54" stopIfTrue="1" operator="equal">
      <formula>IF($K$9=2, "")</formula>
    </cfRule>
  </conditionalFormatting>
  <conditionalFormatting sqref="Q2">
    <cfRule type="cellIs" dxfId="12" priority="55" stopIfTrue="1" operator="equal">
      <formula>IF($K$9=1,"USL:",IF($K$9=2,"","MAX:"))</formula>
    </cfRule>
  </conditionalFormatting>
  <conditionalFormatting sqref="M3">
    <cfRule type="cellIs" dxfId="11" priority="56" stopIfTrue="1" operator="equal">
      <formula>IF(OR($K$9=2, $K$9=3), "")</formula>
    </cfRule>
  </conditionalFormatting>
  <conditionalFormatting sqref="O3">
    <cfRule type="cellIs" dxfId="10" priority="57" stopIfTrue="1" operator="equal">
      <formula>IF($K$9=1,"NOMINAL:","")</formula>
    </cfRule>
  </conditionalFormatting>
  <printOptions horizontalCentered="1" verticalCentered="1"/>
  <pageMargins left="0.5" right="0.5" top="0.25" bottom="0.25" header="0.5" footer="0.5"/>
  <pageSetup paperSize="9" pageOrder="overThenDown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0" r:id="rId4" name="Option Button 32">
              <controlPr defaultSize="0" autoFill="0" autoLine="0" autoPict="0">
                <anchor moveWithCells="1">
                  <from>
                    <xdr:col>0</xdr:col>
                    <xdr:colOff>7620</xdr:colOff>
                    <xdr:row>7</xdr:row>
                    <xdr:rowOff>198120</xdr:rowOff>
                  </from>
                  <to>
                    <xdr:col>4</xdr:col>
                    <xdr:colOff>220980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5" name="Option Button 33">
              <controlPr locked="0" defaultSize="0" autoFill="0" autoLine="0" autoPict="0">
                <anchor moveWithCells="1">
                  <from>
                    <xdr:col>6</xdr:col>
                    <xdr:colOff>213360</xdr:colOff>
                    <xdr:row>8</xdr:row>
                    <xdr:rowOff>30480</xdr:rowOff>
                  </from>
                  <to>
                    <xdr:col>9</xdr:col>
                    <xdr:colOff>0</xdr:colOff>
                    <xdr:row>9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6" name="Option Button 34">
              <controlPr locked="0" defaultSize="0" autoFill="0" autoLine="0" autoPict="0">
                <anchor moveWithCells="1">
                  <from>
                    <xdr:col>12</xdr:col>
                    <xdr:colOff>99060</xdr:colOff>
                    <xdr:row>8</xdr:row>
                    <xdr:rowOff>7620</xdr:rowOff>
                  </from>
                  <to>
                    <xdr:col>15</xdr:col>
                    <xdr:colOff>60960</xdr:colOff>
                    <xdr:row>9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0" r:id="rId7" name="Drop Down 542">
              <controlPr defaultSize="0" print="0" autoFill="0" autoLine="0" autoPict="0">
                <anchor moveWithCells="1">
                  <from>
                    <xdr:col>15</xdr:col>
                    <xdr:colOff>38100</xdr:colOff>
                    <xdr:row>6</xdr:row>
                    <xdr:rowOff>45720</xdr:rowOff>
                  </from>
                  <to>
                    <xdr:col>16</xdr:col>
                    <xdr:colOff>342900</xdr:colOff>
                    <xdr:row>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599" r:id="rId8" name="Drop Down 551">
              <controlPr defaultSize="0" print="0" autoFill="0" autoLine="0" autoPict="0">
                <anchor moveWithCells="1">
                  <from>
                    <xdr:col>10</xdr:col>
                    <xdr:colOff>236220</xdr:colOff>
                    <xdr:row>3</xdr:row>
                    <xdr:rowOff>144780</xdr:rowOff>
                  </from>
                  <to>
                    <xdr:col>14</xdr:col>
                    <xdr:colOff>160020</xdr:colOff>
                    <xdr:row>5</xdr:row>
                    <xdr:rowOff>76200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44" stopIfTrue="1" operator="greaterThan" id="{D0638A46-1BD2-4498-9C80-887ED8876C90}">
            <xm:f>Formule!$X$35</xm:f>
            <x14:dxf>
              <fill>
                <patternFill>
                  <bgColor indexed="10"/>
                </patternFill>
              </fill>
            </x14:dxf>
          </x14:cfRule>
          <x14:cfRule type="cellIs" priority="45" stopIfTrue="1" operator="lessThan" id="{8972CDC9-A109-4C63-BA70-7F50CA5F9F5D}">
            <xm:f>Formule!$X$36</xm:f>
            <x14:dxf>
              <fill>
                <patternFill>
                  <bgColor indexed="10"/>
                </patternFill>
              </fill>
            </x14:dxf>
          </x14:cfRule>
          <xm:sqref>C38:BW38</xm:sqref>
        </x14:conditionalFormatting>
        <x14:conditionalFormatting xmlns:xm="http://schemas.microsoft.com/office/excel/2006/main">
          <x14:cfRule type="cellIs" priority="48" stopIfTrue="1" operator="greaterThan" id="{0C1E1E03-921A-42AB-8CAA-27453E6ECFF7}">
            <xm:f>Formule!$X$33</xm:f>
            <x14:dxf>
              <fill>
                <patternFill>
                  <bgColor indexed="10"/>
                </patternFill>
              </fill>
            </x14:dxf>
          </x14:cfRule>
          <x14:cfRule type="cellIs" priority="49" stopIfTrue="1" operator="lessThan" id="{16FBEB75-CFA7-4608-A92B-78FB2944D5D5}">
            <xm:f>Formule!$X$34</xm:f>
            <x14:dxf>
              <fill>
                <patternFill>
                  <bgColor indexed="10"/>
                </patternFill>
              </fill>
            </x14:dxf>
          </x14:cfRule>
          <xm:sqref>C37:BW37</xm:sqref>
        </x14:conditionalFormatting>
        <x14:conditionalFormatting xmlns:xm="http://schemas.microsoft.com/office/excel/2006/main">
          <x14:cfRule type="cellIs" priority="51" stopIfTrue="1" operator="equal" id="{A8751817-6843-4FFC-A3B4-9997CD2EC4CD}">
            <xm:f>IF(Formule!$N$171="Process output without usual defects","Process output without usual defects","")</xm:f>
            <x14:dxf>
              <fill>
                <patternFill>
                  <bgColor indexed="41"/>
                </patternFill>
              </fill>
            </x14:dxf>
          </x14:cfRule>
          <xm:sqref>S49:X50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A347"/>
  <sheetViews>
    <sheetView zoomScale="130" zoomScaleNormal="130" workbookViewId="0">
      <selection activeCell="U39" sqref="U39:CT39"/>
    </sheetView>
  </sheetViews>
  <sheetFormatPr defaultColWidth="9.109375" defaultRowHeight="13.2" x14ac:dyDescent="0.25"/>
  <cols>
    <col min="1" max="1" width="9.109375" style="1"/>
    <col min="2" max="2" width="9.109375" style="6"/>
    <col min="3" max="11" width="9.109375" style="2"/>
    <col min="12" max="18" width="9.109375" style="1"/>
    <col min="19" max="19" width="13.33203125" style="1" customWidth="1"/>
    <col min="20" max="16384" width="9.109375" style="1"/>
  </cols>
  <sheetData>
    <row r="1" spans="1:105" ht="13.8" thickBot="1" x14ac:dyDescent="0.3">
      <c r="A1" s="133"/>
      <c r="B1" s="188"/>
      <c r="C1" s="189" t="s">
        <v>2</v>
      </c>
      <c r="D1" s="189" t="s">
        <v>3</v>
      </c>
      <c r="E1" s="189" t="s">
        <v>4</v>
      </c>
      <c r="F1" s="189" t="s">
        <v>5</v>
      </c>
      <c r="G1" s="189" t="s">
        <v>119</v>
      </c>
      <c r="H1" s="189" t="s">
        <v>6</v>
      </c>
      <c r="I1" s="189" t="s">
        <v>112</v>
      </c>
      <c r="J1" s="135"/>
      <c r="K1" s="190">
        <v>1</v>
      </c>
      <c r="L1" s="136"/>
      <c r="M1" s="191"/>
      <c r="P1" s="9"/>
      <c r="Q1" s="155"/>
      <c r="R1" s="156" t="s">
        <v>168</v>
      </c>
      <c r="S1" s="138"/>
      <c r="T1" s="138"/>
      <c r="U1" s="138"/>
      <c r="V1" s="138"/>
      <c r="W1" s="138"/>
      <c r="X1" s="138"/>
      <c r="Y1" s="138"/>
      <c r="Z1" s="138"/>
      <c r="AA1" s="138"/>
      <c r="AB1" s="138"/>
      <c r="AC1" s="138"/>
      <c r="AD1" s="138"/>
      <c r="AE1" s="138"/>
      <c r="AF1" s="138"/>
      <c r="AG1" s="138"/>
      <c r="AH1" s="138"/>
      <c r="AI1" s="138"/>
      <c r="AJ1" s="138"/>
      <c r="AK1" s="138"/>
      <c r="AL1" s="138"/>
      <c r="AM1" s="138"/>
      <c r="AN1" s="138"/>
      <c r="AO1" s="138"/>
      <c r="AP1" s="138"/>
      <c r="AQ1" s="138"/>
      <c r="AR1" s="138"/>
      <c r="AS1" s="138"/>
      <c r="AT1" s="138"/>
      <c r="AU1" s="138"/>
      <c r="AV1" s="138"/>
      <c r="AW1" s="138"/>
      <c r="AX1" s="138"/>
      <c r="AY1" s="138"/>
      <c r="AZ1" s="138"/>
      <c r="BA1" s="138"/>
      <c r="BB1" s="138"/>
      <c r="BC1" s="11">
        <v>2</v>
      </c>
      <c r="BD1" s="12">
        <f>COUNT(SPC!C32:C36)</f>
        <v>5</v>
      </c>
      <c r="BE1" s="12">
        <f>COUNT(SPC!D32:D36)</f>
        <v>5</v>
      </c>
      <c r="BF1" s="12">
        <f>COUNT(SPC!E32:E36)</f>
        <v>5</v>
      </c>
      <c r="BG1" s="12">
        <f>COUNT(SPC!F32:F36)</f>
        <v>5</v>
      </c>
      <c r="BH1" s="12">
        <f>COUNT(SPC!G32:G36)</f>
        <v>5</v>
      </c>
      <c r="BI1" s="12">
        <f>COUNT(SPC!H32:H36)</f>
        <v>5</v>
      </c>
      <c r="BJ1" s="12">
        <f>COUNT(SPC!I32:I36)</f>
        <v>5</v>
      </c>
      <c r="BK1" s="12">
        <f>COUNT(SPC!J32:J36)</f>
        <v>5</v>
      </c>
      <c r="BL1" s="12">
        <f>COUNT(SPC!K32:K36)</f>
        <v>5</v>
      </c>
      <c r="BM1" s="12">
        <f>COUNT(SPC!L32:L36)</f>
        <v>5</v>
      </c>
      <c r="BN1" s="12">
        <f>COUNT(SPC!M32:M36)</f>
        <v>5</v>
      </c>
      <c r="BO1" s="12">
        <f>COUNT(SPC!N32:N36)</f>
        <v>5</v>
      </c>
      <c r="BP1" s="12">
        <f>COUNT(SPC!O32:O36)</f>
        <v>5</v>
      </c>
      <c r="BQ1" s="12">
        <f>COUNT(SPC!P32:P36)</f>
        <v>5</v>
      </c>
      <c r="BR1" s="12">
        <f>COUNT(SPC!Q32:Q36)</f>
        <v>5</v>
      </c>
      <c r="BS1" s="12">
        <f>COUNT(SPC!R32:R36)</f>
        <v>5</v>
      </c>
      <c r="BT1" s="12">
        <f>COUNT(SPC!S32:S36)</f>
        <v>5</v>
      </c>
      <c r="BU1" s="12">
        <f>COUNT(SPC!T32:T36)</f>
        <v>5</v>
      </c>
      <c r="BV1" s="12">
        <f>COUNT(SPC!U32:U36)</f>
        <v>5</v>
      </c>
      <c r="BW1" s="12">
        <f>COUNT(SPC!V32:V36)</f>
        <v>5</v>
      </c>
      <c r="BX1" s="12">
        <f>COUNT(SPC!W32:W36)</f>
        <v>5</v>
      </c>
      <c r="BY1" s="12">
        <f>COUNT(SPC!X32:X36)</f>
        <v>5</v>
      </c>
      <c r="BZ1" s="12">
        <f>COUNT(SPC!Y32:Y36)</f>
        <v>5</v>
      </c>
      <c r="CA1" s="12">
        <f>COUNT(SPC!Z32:Z36)</f>
        <v>5</v>
      </c>
      <c r="CB1" s="12">
        <f>COUNT(SPC!AA32:AA36)</f>
        <v>5</v>
      </c>
      <c r="CC1" s="12">
        <f>COUNT(SPC!AB32:AB36)</f>
        <v>5</v>
      </c>
      <c r="CD1" s="12">
        <f>COUNT(SPC!AC32:AC36)</f>
        <v>5</v>
      </c>
      <c r="CE1" s="12">
        <f>COUNT(SPC!AD32:AD36)</f>
        <v>5</v>
      </c>
      <c r="CF1" s="12">
        <f>COUNT(SPC!AE32:AE36)</f>
        <v>5</v>
      </c>
      <c r="CG1" s="12">
        <f>COUNT(SPC!AF32:AF36)</f>
        <v>5</v>
      </c>
      <c r="CH1" s="12">
        <f>COUNT(SPC!AG32:AG36)</f>
        <v>5</v>
      </c>
      <c r="CI1" s="12">
        <f>COUNT(SPC!AH32:AH36)</f>
        <v>5</v>
      </c>
      <c r="CJ1" s="12">
        <f>COUNT(SPC!AI32:AI36)</f>
        <v>5</v>
      </c>
      <c r="CK1" s="12">
        <f>COUNT(SPC!AJ32:AJ36)</f>
        <v>5</v>
      </c>
      <c r="CL1" s="12">
        <f>COUNT(SPC!AK32:AK36)</f>
        <v>5</v>
      </c>
      <c r="CM1" s="12">
        <f>COUNT(SPC!AL32:AL36)</f>
        <v>5</v>
      </c>
      <c r="CN1" s="12">
        <f>COUNT(SPC!AM32:AM36)</f>
        <v>5</v>
      </c>
      <c r="CO1" s="12">
        <f>COUNT(SPC!AN32:AN36)</f>
        <v>5</v>
      </c>
      <c r="CP1" s="12">
        <f>COUNT(SPC!AO32:AO36)</f>
        <v>5</v>
      </c>
      <c r="CQ1" s="12">
        <f>COUNT(SPC!AP32:AP36)</f>
        <v>5</v>
      </c>
      <c r="CR1" s="12">
        <f>COUNT(SPC!AQ32:AQ36)</f>
        <v>5</v>
      </c>
      <c r="CS1" s="12">
        <f>COUNT(SPC!AR32:AR36)</f>
        <v>5</v>
      </c>
      <c r="CT1" s="12">
        <f>COUNT(SPC!AS32:AS36)</f>
        <v>5</v>
      </c>
      <c r="CU1" s="12">
        <f>COUNT(SPC!AT32:AT36)</f>
        <v>5</v>
      </c>
      <c r="CV1" s="12">
        <f>COUNT(SPC!AU32:AU36)</f>
        <v>5</v>
      </c>
      <c r="CW1" s="12">
        <f>COUNT(SPC!AV32:AV36)</f>
        <v>5</v>
      </c>
      <c r="CX1" s="12">
        <f>COUNT(SPC!AW32:AW36)</f>
        <v>5</v>
      </c>
      <c r="CY1" s="12">
        <f>COUNT(SPC!AX32:AX36)</f>
        <v>5</v>
      </c>
      <c r="CZ1" s="12">
        <f>COUNT(SPC!AY32:AY36)</f>
        <v>5</v>
      </c>
      <c r="DA1" s="12">
        <f>COUNT(SPC!AZ32:AZ36)</f>
        <v>5</v>
      </c>
    </row>
    <row r="2" spans="1:105" x14ac:dyDescent="0.25">
      <c r="A2" s="140">
        <v>1</v>
      </c>
      <c r="B2" s="7">
        <f>SPC!G$37</f>
        <v>17.223772299417032</v>
      </c>
      <c r="C2" s="3">
        <f>IF(B2="N/A",NA(),(B2-$G$2)/$H$2)</f>
        <v>-0.84469985260820879</v>
      </c>
      <c r="D2" s="4">
        <f>IF(B2="N/A",NA(),RANK(B2,$B$2:$B$51,TRUE)/$I$2)</f>
        <v>0.28000000000000003</v>
      </c>
      <c r="E2" s="3">
        <f t="shared" ref="E2:E51" si="0">NORMDIST(C2,0,1,TRUE)</f>
        <v>0.19913922089758435</v>
      </c>
      <c r="F2" s="3">
        <f>IF(B2="N/A",NA(),NORMDIST(B2,$G$2,$H$2,TRUE)*100)</f>
        <v>19.913922089758433</v>
      </c>
      <c r="G2" s="3">
        <f>AVERAGE(SPC!C37:BA37)</f>
        <v>17.22866227781148</v>
      </c>
      <c r="H2" s="3">
        <f>STDEV(SPC!C37:BA37)</f>
        <v>5.789012960461087E-3</v>
      </c>
      <c r="I2" s="4">
        <f>COUNT(B2:B51)</f>
        <v>50</v>
      </c>
      <c r="J2" s="142"/>
      <c r="K2" s="192" t="s">
        <v>139</v>
      </c>
      <c r="L2" s="5"/>
      <c r="M2" s="149"/>
      <c r="P2" s="14"/>
      <c r="Q2" s="157"/>
      <c r="R2" s="158" t="s">
        <v>169</v>
      </c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88"/>
      <c r="AI2" s="88"/>
      <c r="AJ2" s="88"/>
      <c r="AK2" s="88"/>
      <c r="AL2" s="88"/>
      <c r="AM2" s="88"/>
      <c r="AN2" s="88"/>
      <c r="AO2" s="88"/>
      <c r="AP2" s="88"/>
      <c r="AQ2" s="88"/>
      <c r="AR2" s="88"/>
      <c r="AS2" s="88"/>
      <c r="AT2" s="88"/>
      <c r="AU2" s="88"/>
      <c r="AV2" s="88"/>
      <c r="AW2" s="88"/>
      <c r="AX2" s="88"/>
      <c r="AY2" s="88"/>
      <c r="AZ2" s="88"/>
      <c r="BA2" s="88"/>
      <c r="BB2" s="88"/>
      <c r="BC2" s="156" t="s">
        <v>168</v>
      </c>
      <c r="BD2" s="88"/>
      <c r="BE2" s="88"/>
      <c r="BF2" s="88"/>
      <c r="BG2" s="88"/>
      <c r="BH2" s="88"/>
      <c r="BI2" s="88"/>
      <c r="BJ2" s="88"/>
      <c r="BK2" s="88"/>
      <c r="BL2" s="88"/>
      <c r="BM2" s="88"/>
      <c r="BN2" s="88"/>
      <c r="BO2" s="88"/>
      <c r="BP2" s="88"/>
      <c r="BQ2" s="88"/>
      <c r="BR2" s="88"/>
      <c r="BS2" s="88"/>
      <c r="BT2" s="88"/>
      <c r="BU2" s="88"/>
      <c r="BV2" s="143"/>
      <c r="BW2" s="12"/>
    </row>
    <row r="3" spans="1:105" ht="15.6" x14ac:dyDescent="0.3">
      <c r="A3" s="140">
        <f t="shared" ref="A3:A51" si="1">A2+1</f>
        <v>2</v>
      </c>
      <c r="B3" s="7">
        <f>SPC!V$37</f>
        <v>17.236359515325198</v>
      </c>
      <c r="C3" s="3">
        <f t="shared" ref="C3:C51" si="2">IF(B3="N/A",NA(),(B3-$G$2)/$H$2)</f>
        <v>1.3296286545373965</v>
      </c>
      <c r="D3" s="4">
        <f t="shared" ref="D3:D51" si="3">IF(B3="N/A",NA(),RANK(B3,$B$2:$B$51,TRUE)/$I$2)</f>
        <v>0.78</v>
      </c>
      <c r="E3" s="3">
        <f t="shared" si="0"/>
        <v>0.90817967389589449</v>
      </c>
      <c r="F3" s="3">
        <f t="shared" ref="F3:F51" si="4">IF(B3="N/A",NA(),NORMDIST(B3,$G$2,$H$2,TRUE)*100)</f>
        <v>90.817967389589455</v>
      </c>
      <c r="G3" s="4"/>
      <c r="H3" s="4"/>
      <c r="I3" s="4"/>
      <c r="J3" s="142"/>
      <c r="K3" s="192" t="s">
        <v>137</v>
      </c>
      <c r="L3" s="5"/>
      <c r="M3" s="149"/>
      <c r="P3" s="123"/>
      <c r="Q3" s="159"/>
      <c r="R3" s="158"/>
      <c r="S3" s="88"/>
      <c r="T3" s="88"/>
      <c r="U3" s="88"/>
      <c r="V3" s="88"/>
      <c r="W3" s="88"/>
      <c r="X3" s="88"/>
      <c r="Y3" s="88"/>
      <c r="Z3" s="88"/>
      <c r="AA3" s="88"/>
      <c r="AB3" s="88"/>
      <c r="AC3" s="88"/>
      <c r="AD3" s="88"/>
      <c r="AE3" s="88"/>
      <c r="AF3" s="88"/>
      <c r="AG3" s="88"/>
      <c r="AH3" s="88"/>
      <c r="AI3" s="88"/>
      <c r="AJ3" s="88"/>
      <c r="AK3" s="88"/>
      <c r="AL3" s="88"/>
      <c r="AM3" s="88"/>
      <c r="AN3" s="88"/>
      <c r="AO3" s="88"/>
      <c r="AP3" s="88"/>
      <c r="AQ3" s="88"/>
      <c r="AR3" s="88"/>
      <c r="AS3" s="88"/>
      <c r="AT3" s="88"/>
      <c r="AU3" s="88"/>
      <c r="AV3" s="88"/>
      <c r="AW3" s="88"/>
      <c r="AX3" s="88"/>
      <c r="AY3" s="88"/>
      <c r="AZ3" s="88"/>
      <c r="BA3" s="88"/>
      <c r="BB3" s="88"/>
      <c r="BC3" s="158" t="s">
        <v>169</v>
      </c>
      <c r="BD3" s="88"/>
      <c r="BE3" s="88"/>
      <c r="BF3" s="88"/>
      <c r="BG3" s="88"/>
      <c r="BH3" s="88"/>
      <c r="BI3" s="88"/>
      <c r="BJ3" s="88"/>
      <c r="BK3" s="88"/>
      <c r="BL3" s="88"/>
      <c r="BM3" s="88"/>
      <c r="BN3" s="88"/>
      <c r="BO3" s="88"/>
      <c r="BP3" s="88"/>
      <c r="BQ3" s="88"/>
      <c r="BR3" s="88"/>
      <c r="BS3" s="88"/>
      <c r="BT3" s="88"/>
      <c r="BU3" s="88"/>
      <c r="BV3" s="143"/>
      <c r="BW3" s="12"/>
    </row>
    <row r="4" spans="1:105" ht="15.6" x14ac:dyDescent="0.3">
      <c r="A4" s="140">
        <f t="shared" si="1"/>
        <v>3</v>
      </c>
      <c r="B4" s="7">
        <f>SPC!Y$37</f>
        <v>17.222663910821439</v>
      </c>
      <c r="C4" s="3">
        <f t="shared" si="2"/>
        <v>-1.0361640284813074</v>
      </c>
      <c r="D4" s="4">
        <f t="shared" si="3"/>
        <v>0.04</v>
      </c>
      <c r="E4" s="3">
        <f t="shared" si="0"/>
        <v>0.15006281265045684</v>
      </c>
      <c r="F4" s="3">
        <f t="shared" si="4"/>
        <v>15.006281265045684</v>
      </c>
      <c r="G4" s="4"/>
      <c r="H4" s="4"/>
      <c r="I4" s="4"/>
      <c r="J4" s="142"/>
      <c r="K4" s="192" t="s">
        <v>138</v>
      </c>
      <c r="L4" s="5"/>
      <c r="M4" s="149"/>
      <c r="P4" s="114"/>
      <c r="Q4" s="159"/>
      <c r="R4" s="88"/>
      <c r="S4" s="88"/>
      <c r="T4" s="88"/>
      <c r="U4" s="88"/>
      <c r="V4" s="88"/>
      <c r="W4" s="88"/>
      <c r="X4" s="88"/>
      <c r="Y4" s="88"/>
      <c r="Z4" s="88"/>
      <c r="AA4" s="88"/>
      <c r="AB4" s="88"/>
      <c r="AC4" s="88"/>
      <c r="AD4" s="88"/>
      <c r="AE4" s="88"/>
      <c r="AF4" s="88"/>
      <c r="AG4" s="88"/>
      <c r="AH4" s="88"/>
      <c r="AI4" s="88"/>
      <c r="AJ4" s="88"/>
      <c r="AK4" s="88"/>
      <c r="AL4" s="88"/>
      <c r="AM4" s="88"/>
      <c r="AN4" s="88"/>
      <c r="AO4" s="88"/>
      <c r="AP4" s="88"/>
      <c r="AQ4" s="88"/>
      <c r="AR4" s="88"/>
      <c r="AS4" s="88"/>
      <c r="AT4" s="88"/>
      <c r="AU4" s="88"/>
      <c r="AV4" s="88"/>
      <c r="AW4" s="88"/>
      <c r="AX4" s="88"/>
      <c r="AY4" s="88"/>
      <c r="AZ4" s="88"/>
      <c r="BA4" s="88"/>
      <c r="BB4" s="88"/>
      <c r="BC4" s="88"/>
      <c r="BD4" s="88"/>
      <c r="BE4" s="88"/>
      <c r="BF4" s="88"/>
      <c r="BG4" s="88"/>
      <c r="BH4" s="88"/>
      <c r="BI4" s="88"/>
      <c r="BJ4" s="88"/>
      <c r="BK4" s="88"/>
      <c r="BL4" s="88"/>
      <c r="BM4" s="88"/>
      <c r="BN4" s="88"/>
      <c r="BO4" s="88"/>
      <c r="BP4" s="88"/>
      <c r="BQ4" s="88"/>
      <c r="BR4" s="88"/>
      <c r="BS4" s="88"/>
      <c r="BT4" s="88"/>
      <c r="BU4" s="88"/>
      <c r="BV4" s="143"/>
      <c r="BW4" s="12"/>
    </row>
    <row r="5" spans="1:105" x14ac:dyDescent="0.25">
      <c r="A5" s="140">
        <f t="shared" si="1"/>
        <v>4</v>
      </c>
      <c r="B5" s="7">
        <f>SPC!M$37</f>
        <v>17.222663910821439</v>
      </c>
      <c r="C5" s="3">
        <f t="shared" si="2"/>
        <v>-1.0361640284813074</v>
      </c>
      <c r="D5" s="4">
        <f t="shared" si="3"/>
        <v>0.04</v>
      </c>
      <c r="E5" s="3">
        <f t="shared" si="0"/>
        <v>0.15006281265045684</v>
      </c>
      <c r="F5" s="3">
        <f t="shared" si="4"/>
        <v>15.006281265045684</v>
      </c>
      <c r="G5" s="4"/>
      <c r="H5" s="4">
        <f>RANK(B2,B2:B51,TRUE)</f>
        <v>14</v>
      </c>
      <c r="I5" s="4"/>
      <c r="J5" s="142"/>
      <c r="K5" s="193"/>
      <c r="L5" s="5"/>
      <c r="M5" s="149"/>
      <c r="P5" s="124"/>
      <c r="Q5" s="160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8"/>
      <c r="AN5" s="88"/>
      <c r="AO5" s="88"/>
      <c r="AP5" s="88"/>
      <c r="AQ5" s="88"/>
      <c r="AR5" s="88"/>
      <c r="AS5" s="88"/>
      <c r="AT5" s="88"/>
      <c r="AU5" s="88"/>
      <c r="AV5" s="88"/>
      <c r="AW5" s="88"/>
      <c r="AX5" s="88"/>
      <c r="AY5" s="88"/>
      <c r="AZ5" s="88"/>
      <c r="BA5" s="88"/>
      <c r="BB5" s="88"/>
      <c r="BC5" s="88"/>
      <c r="BD5" s="88"/>
      <c r="BE5" s="88"/>
      <c r="BF5" s="88"/>
      <c r="BG5" s="88"/>
      <c r="BH5" s="88"/>
      <c r="BI5" s="88"/>
      <c r="BJ5" s="88"/>
      <c r="BK5" s="88"/>
      <c r="BL5" s="88"/>
      <c r="BM5" s="88"/>
      <c r="BN5" s="88"/>
      <c r="BO5" s="88"/>
      <c r="BP5" s="88"/>
      <c r="BQ5" s="88"/>
      <c r="BR5" s="88"/>
      <c r="BS5" s="88"/>
      <c r="BT5" s="88"/>
      <c r="BU5" s="88"/>
      <c r="BV5" s="143"/>
      <c r="BW5" s="12"/>
    </row>
    <row r="6" spans="1:105" x14ac:dyDescent="0.25">
      <c r="A6" s="140">
        <f t="shared" si="1"/>
        <v>5</v>
      </c>
      <c r="B6" s="7">
        <f>SPC!U$37</f>
        <v>17.222663910821439</v>
      </c>
      <c r="C6" s="3">
        <f t="shared" si="2"/>
        <v>-1.0361640284813074</v>
      </c>
      <c r="D6" s="4">
        <f t="shared" si="3"/>
        <v>0.04</v>
      </c>
      <c r="E6" s="3">
        <f t="shared" si="0"/>
        <v>0.15006281265045684</v>
      </c>
      <c r="F6" s="3">
        <f t="shared" si="4"/>
        <v>15.006281265045684</v>
      </c>
      <c r="G6" s="4"/>
      <c r="H6" s="4">
        <f>RANK(B3,B2:B51,TRUE)/50</f>
        <v>0.78</v>
      </c>
      <c r="I6" s="4"/>
      <c r="J6" s="142"/>
      <c r="K6" s="193"/>
      <c r="L6" s="5"/>
      <c r="M6" s="149"/>
      <c r="P6" s="126"/>
      <c r="Q6" s="161"/>
      <c r="R6" s="88"/>
      <c r="S6" s="88"/>
      <c r="T6" s="88"/>
      <c r="U6" s="88"/>
      <c r="V6" s="18"/>
      <c r="W6" s="388" t="s">
        <v>142</v>
      </c>
      <c r="X6" s="388"/>
      <c r="Y6" s="388"/>
      <c r="Z6" s="389"/>
      <c r="AA6" s="390" t="s">
        <v>145</v>
      </c>
      <c r="AB6" s="388"/>
      <c r="AC6" s="388"/>
      <c r="AD6" s="391"/>
      <c r="AE6" s="387" t="s">
        <v>146</v>
      </c>
      <c r="AF6" s="388"/>
      <c r="AG6" s="388"/>
      <c r="AH6" s="388"/>
      <c r="AI6" s="88"/>
      <c r="AJ6" s="88"/>
      <c r="AK6" s="88"/>
      <c r="AL6" s="88"/>
      <c r="AM6" s="88"/>
      <c r="AN6" s="88"/>
      <c r="AO6" s="88"/>
      <c r="AP6" s="88"/>
      <c r="AQ6" s="88"/>
      <c r="AR6" s="19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1"/>
      <c r="BH6" s="88"/>
      <c r="BI6" s="88"/>
      <c r="BJ6" s="88"/>
      <c r="BK6" s="88"/>
      <c r="BL6" s="88"/>
      <c r="BM6" s="88"/>
      <c r="BN6" s="88"/>
      <c r="BO6" s="88"/>
      <c r="BP6" s="88"/>
      <c r="BQ6" s="88"/>
      <c r="BR6" s="88"/>
      <c r="BS6" s="88"/>
      <c r="BT6" s="88"/>
      <c r="BU6" s="88"/>
      <c r="BV6" s="143"/>
      <c r="BW6" s="12"/>
    </row>
    <row r="7" spans="1:105" x14ac:dyDescent="0.25">
      <c r="A7" s="140">
        <f t="shared" si="1"/>
        <v>6</v>
      </c>
      <c r="B7" s="7">
        <f>SPC!Z$37</f>
        <v>17.236359515325198</v>
      </c>
      <c r="C7" s="3">
        <f t="shared" si="2"/>
        <v>1.3296286545373965</v>
      </c>
      <c r="D7" s="4">
        <f t="shared" si="3"/>
        <v>0.78</v>
      </c>
      <c r="E7" s="3">
        <f t="shared" si="0"/>
        <v>0.90817967389589449</v>
      </c>
      <c r="F7" s="3">
        <f t="shared" si="4"/>
        <v>90.817967389589455</v>
      </c>
      <c r="G7" s="4"/>
      <c r="H7" s="4"/>
      <c r="I7" s="4"/>
      <c r="J7" s="142"/>
      <c r="K7" s="142"/>
      <c r="L7" s="5"/>
      <c r="M7" s="149"/>
      <c r="P7" s="127"/>
      <c r="Q7" s="162"/>
      <c r="R7" s="88" t="str">
        <f>IF(SPC!X3&gt;=7,1,"")</f>
        <v/>
      </c>
      <c r="S7" s="88" t="str">
        <f>IF(SPC!Z3&gt;=7,1,"")</f>
        <v/>
      </c>
      <c r="T7" s="163" t="s">
        <v>112</v>
      </c>
      <c r="U7" s="146"/>
      <c r="V7" s="23"/>
      <c r="W7" s="23" t="s">
        <v>31</v>
      </c>
      <c r="X7" s="23" t="s">
        <v>32</v>
      </c>
      <c r="Y7" s="23" t="s">
        <v>33</v>
      </c>
      <c r="Z7" s="24"/>
      <c r="AA7" s="102" t="s">
        <v>144</v>
      </c>
      <c r="AB7" s="100" t="s">
        <v>32</v>
      </c>
      <c r="AC7" s="100" t="s">
        <v>33</v>
      </c>
      <c r="AD7" s="103"/>
      <c r="AE7" s="99" t="s">
        <v>144</v>
      </c>
      <c r="AF7" s="100" t="s">
        <v>32</v>
      </c>
      <c r="AG7" s="100" t="s">
        <v>33</v>
      </c>
      <c r="AH7" s="100"/>
      <c r="AI7" s="88"/>
      <c r="AJ7" s="164" t="s">
        <v>42</v>
      </c>
      <c r="AK7" s="164">
        <f>IF(SPC!K9=2,"N/A",(SPC!Q2-SPC!AH8)/(3*SPC!AP9))</f>
        <v>4.2956344853445207</v>
      </c>
      <c r="AL7" s="88"/>
      <c r="AM7" s="88"/>
      <c r="AN7" s="88"/>
      <c r="AO7" s="88"/>
      <c r="AP7" s="88"/>
      <c r="AQ7" s="88"/>
      <c r="AR7" s="26"/>
      <c r="AS7" s="26"/>
      <c r="AT7" s="26"/>
      <c r="AU7" s="26"/>
      <c r="AV7" s="26"/>
      <c r="AW7" s="26"/>
      <c r="AX7" s="26"/>
      <c r="AY7" s="26"/>
      <c r="AZ7" s="26"/>
      <c r="BA7" s="26"/>
      <c r="BB7" s="26"/>
      <c r="BC7" s="26"/>
      <c r="BD7" s="26"/>
      <c r="BE7" s="26"/>
      <c r="BF7" s="26"/>
      <c r="BG7" s="26"/>
      <c r="BH7" s="88"/>
      <c r="BI7" s="88"/>
      <c r="BJ7" s="88"/>
      <c r="BK7" s="88"/>
      <c r="BL7" s="88"/>
      <c r="BM7" s="88"/>
      <c r="BN7" s="88"/>
      <c r="BO7" s="88"/>
      <c r="BP7" s="88"/>
      <c r="BQ7" s="88"/>
      <c r="BR7" s="88"/>
      <c r="BS7" s="88"/>
      <c r="BT7" s="88"/>
      <c r="BU7" s="88"/>
      <c r="BV7" s="143"/>
      <c r="BW7" s="12"/>
    </row>
    <row r="8" spans="1:105" x14ac:dyDescent="0.25">
      <c r="A8" s="140">
        <f t="shared" si="1"/>
        <v>7</v>
      </c>
      <c r="B8" s="7">
        <f>SPC!H$37</f>
        <v>17.232445480875615</v>
      </c>
      <c r="C8" s="3">
        <f t="shared" si="2"/>
        <v>0.65351435382403833</v>
      </c>
      <c r="D8" s="4">
        <f t="shared" si="3"/>
        <v>0.54</v>
      </c>
      <c r="E8" s="3">
        <f t="shared" si="0"/>
        <v>0.74328763059357206</v>
      </c>
      <c r="F8" s="3">
        <f t="shared" si="4"/>
        <v>74.3287630593572</v>
      </c>
      <c r="G8" s="4"/>
      <c r="H8" s="4"/>
      <c r="I8" s="4"/>
      <c r="J8" s="142"/>
      <c r="K8" s="142"/>
      <c r="L8" s="5"/>
      <c r="M8" s="149"/>
      <c r="P8" s="127"/>
      <c r="Q8" s="162"/>
      <c r="R8" s="20"/>
      <c r="S8" s="26"/>
      <c r="T8" s="20">
        <f>IF(COUNT(SPC!C37:AA37,SPC!AC37:BA37)&lt;&gt;0,COUNT(SPC!C37:AA37,SPC!AC37:BA37),"")</f>
        <v>50</v>
      </c>
      <c r="U8" s="20"/>
      <c r="V8" s="23" t="s">
        <v>38</v>
      </c>
      <c r="W8" s="23" t="s">
        <v>39</v>
      </c>
      <c r="X8" s="23" t="s">
        <v>40</v>
      </c>
      <c r="Y8" s="23" t="s">
        <v>41</v>
      </c>
      <c r="Z8" s="27" t="s">
        <v>131</v>
      </c>
      <c r="AA8" s="28" t="s">
        <v>143</v>
      </c>
      <c r="AB8" s="29" t="s">
        <v>40</v>
      </c>
      <c r="AC8" s="23" t="s">
        <v>41</v>
      </c>
      <c r="AD8" s="30" t="s">
        <v>131</v>
      </c>
      <c r="AE8" s="31" t="s">
        <v>147</v>
      </c>
      <c r="AF8" s="32" t="s">
        <v>40</v>
      </c>
      <c r="AG8" s="33" t="s">
        <v>41</v>
      </c>
      <c r="AH8" s="33" t="s">
        <v>131</v>
      </c>
      <c r="AI8" s="20"/>
      <c r="AJ8" s="164" t="s">
        <v>45</v>
      </c>
      <c r="AK8" s="164">
        <f>IF(SPC!K9=3,"N/A",(SPC!AH8-SPC!L2)/(3*SPC!AP9))</f>
        <v>0.71638304645371942</v>
      </c>
      <c r="AL8" s="20"/>
      <c r="AM8" s="20"/>
      <c r="AN8" s="20"/>
      <c r="AO8" s="20"/>
      <c r="AP8" s="88"/>
      <c r="AQ8" s="88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165"/>
      <c r="BW8" s="10"/>
    </row>
    <row r="9" spans="1:105" x14ac:dyDescent="0.25">
      <c r="A9" s="140">
        <f t="shared" si="1"/>
        <v>8</v>
      </c>
      <c r="B9" s="7">
        <f>SPC!I$37</f>
        <v>17.222663910821439</v>
      </c>
      <c r="C9" s="3">
        <f t="shared" si="2"/>
        <v>-1.0361640284813074</v>
      </c>
      <c r="D9" s="4">
        <f t="shared" si="3"/>
        <v>0.04</v>
      </c>
      <c r="E9" s="3">
        <f t="shared" si="0"/>
        <v>0.15006281265045684</v>
      </c>
      <c r="F9" s="3">
        <f t="shared" si="4"/>
        <v>15.006281265045684</v>
      </c>
      <c r="G9" s="4"/>
      <c r="H9" s="4"/>
      <c r="I9" s="4"/>
      <c r="J9" s="142"/>
      <c r="K9" s="142"/>
      <c r="L9" s="5"/>
      <c r="M9" s="149"/>
      <c r="P9" s="127"/>
      <c r="Q9" s="162"/>
      <c r="R9" s="88" t="str">
        <f>IF(SPC!X5&gt;=7,1,"")</f>
        <v/>
      </c>
      <c r="S9" s="88" t="str">
        <f>IF(SPC!Z5&gt;=7,1,"")</f>
        <v/>
      </c>
      <c r="T9" s="88"/>
      <c r="U9" s="88"/>
      <c r="V9" s="23">
        <v>2</v>
      </c>
      <c r="W9" s="33">
        <v>1.88</v>
      </c>
      <c r="X9" s="23">
        <v>0</v>
      </c>
      <c r="Y9" s="33">
        <v>3.2669999999999999</v>
      </c>
      <c r="Z9" s="101">
        <v>1.1279999999999999</v>
      </c>
      <c r="AA9" s="34">
        <v>2.66</v>
      </c>
      <c r="AB9" s="100">
        <v>0</v>
      </c>
      <c r="AC9" s="100">
        <v>3.2669999999999999</v>
      </c>
      <c r="AD9" s="103">
        <v>1.1279999999999999</v>
      </c>
      <c r="AE9" s="35">
        <v>1.88</v>
      </c>
      <c r="AF9" s="36">
        <v>0</v>
      </c>
      <c r="AG9" s="37">
        <v>3.2669999999999999</v>
      </c>
      <c r="AH9" s="37">
        <v>1.1279999999999999</v>
      </c>
      <c r="AI9" s="88"/>
      <c r="AJ9" s="88"/>
      <c r="AK9" s="88"/>
      <c r="AL9" s="88"/>
      <c r="AM9" s="88"/>
      <c r="AN9" s="88"/>
      <c r="AO9" s="88"/>
      <c r="AP9" s="88"/>
      <c r="AQ9" s="88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88"/>
      <c r="BI9" s="88"/>
      <c r="BJ9" s="88"/>
      <c r="BK9" s="88"/>
      <c r="BL9" s="88"/>
      <c r="BM9" s="88"/>
      <c r="BN9" s="88"/>
      <c r="BO9" s="88"/>
      <c r="BP9" s="88"/>
      <c r="BQ9" s="88"/>
      <c r="BR9" s="88"/>
      <c r="BS9" s="88"/>
      <c r="BT9" s="88"/>
      <c r="BU9" s="88"/>
      <c r="BV9" s="143"/>
      <c r="BW9" s="12"/>
    </row>
    <row r="10" spans="1:105" x14ac:dyDescent="0.25">
      <c r="A10" s="140">
        <f t="shared" si="1"/>
        <v>9</v>
      </c>
      <c r="B10" s="7">
        <f>SPC!J$37</f>
        <v>17.236359515325198</v>
      </c>
      <c r="C10" s="3">
        <f t="shared" si="2"/>
        <v>1.3296286545373965</v>
      </c>
      <c r="D10" s="4">
        <f t="shared" si="3"/>
        <v>0.78</v>
      </c>
      <c r="E10" s="3">
        <f t="shared" si="0"/>
        <v>0.90817967389589449</v>
      </c>
      <c r="F10" s="3">
        <f t="shared" si="4"/>
        <v>90.817967389589455</v>
      </c>
      <c r="G10" s="4"/>
      <c r="H10" s="4"/>
      <c r="I10" s="4"/>
      <c r="J10" s="142"/>
      <c r="K10" s="142"/>
      <c r="L10" s="5"/>
      <c r="M10" s="149"/>
      <c r="P10" s="127"/>
      <c r="Q10" s="162"/>
      <c r="R10" s="88"/>
      <c r="S10" s="88"/>
      <c r="T10" s="88"/>
      <c r="U10" s="88"/>
      <c r="V10" s="23">
        <v>3</v>
      </c>
      <c r="W10" s="33">
        <v>1.0229999999999999</v>
      </c>
      <c r="X10" s="23">
        <v>0</v>
      </c>
      <c r="Y10" s="33">
        <v>2.5739999999999998</v>
      </c>
      <c r="Z10" s="101">
        <v>1.6930000000000001</v>
      </c>
      <c r="AA10" s="34">
        <v>1.772</v>
      </c>
      <c r="AB10" s="100">
        <v>0</v>
      </c>
      <c r="AC10" s="100">
        <v>2.5739999999999998</v>
      </c>
      <c r="AD10" s="103">
        <v>1.6930000000000001</v>
      </c>
      <c r="AE10" s="38">
        <v>1.1870000000000001</v>
      </c>
      <c r="AF10" s="36">
        <v>0</v>
      </c>
      <c r="AG10" s="37">
        <v>2.5739999999999998</v>
      </c>
      <c r="AH10" s="37">
        <v>1.6930000000000001</v>
      </c>
      <c r="AI10" s="88"/>
      <c r="AJ10" s="88"/>
      <c r="AK10" s="88"/>
      <c r="AL10" s="88"/>
      <c r="AM10" s="88"/>
      <c r="AN10" s="88"/>
      <c r="AO10" s="88"/>
      <c r="AP10" s="88"/>
      <c r="AQ10" s="88"/>
      <c r="AR10" s="19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88"/>
      <c r="BI10" s="88"/>
      <c r="BJ10" s="88"/>
      <c r="BK10" s="88"/>
      <c r="BL10" s="88"/>
      <c r="BM10" s="88"/>
      <c r="BN10" s="88"/>
      <c r="BO10" s="88"/>
      <c r="BP10" s="88"/>
      <c r="BQ10" s="88"/>
      <c r="BR10" s="88"/>
      <c r="BS10" s="88"/>
      <c r="BT10" s="88"/>
      <c r="BU10" s="88"/>
      <c r="BV10" s="143"/>
      <c r="BW10" s="12"/>
    </row>
    <row r="11" spans="1:105" x14ac:dyDescent="0.25">
      <c r="A11" s="140">
        <f t="shared" si="1"/>
        <v>10</v>
      </c>
      <c r="B11" s="7">
        <f>SPC!N$37</f>
        <v>17.236359515325198</v>
      </c>
      <c r="C11" s="3">
        <f t="shared" si="2"/>
        <v>1.3296286545373965</v>
      </c>
      <c r="D11" s="4">
        <f t="shared" si="3"/>
        <v>0.78</v>
      </c>
      <c r="E11" s="3">
        <f t="shared" si="0"/>
        <v>0.90817967389589449</v>
      </c>
      <c r="F11" s="3">
        <f t="shared" si="4"/>
        <v>90.817967389589455</v>
      </c>
      <c r="G11" s="4"/>
      <c r="H11" s="4"/>
      <c r="I11" s="4"/>
      <c r="J11" s="142"/>
      <c r="K11" s="142"/>
      <c r="L11" s="5"/>
      <c r="M11" s="149"/>
      <c r="P11" s="127"/>
      <c r="Q11" s="166"/>
      <c r="R11" s="88" t="str">
        <f ca="1">IF(SPC!X7&gt;=1,1,"")</f>
        <v/>
      </c>
      <c r="S11" s="88">
        <f ca="1">IF(SPC!Z7&gt;=1,1,"")</f>
        <v>1</v>
      </c>
      <c r="T11" s="88"/>
      <c r="U11" s="88"/>
      <c r="V11" s="23">
        <v>4</v>
      </c>
      <c r="W11" s="33">
        <v>0.72899999999999998</v>
      </c>
      <c r="X11" s="23">
        <v>0</v>
      </c>
      <c r="Y11" s="33">
        <v>2.282</v>
      </c>
      <c r="Z11" s="101">
        <v>2.0590000000000002</v>
      </c>
      <c r="AA11" s="34">
        <v>1.4570000000000001</v>
      </c>
      <c r="AB11" s="100">
        <v>0</v>
      </c>
      <c r="AC11" s="100">
        <v>2.282</v>
      </c>
      <c r="AD11" s="103">
        <v>2.0590000000000002</v>
      </c>
      <c r="AE11" s="38">
        <v>0.79600000000000004</v>
      </c>
      <c r="AF11" s="36">
        <v>0</v>
      </c>
      <c r="AG11" s="37">
        <v>2.282</v>
      </c>
      <c r="AH11" s="37">
        <v>2.0590000000000002</v>
      </c>
      <c r="AI11" s="88"/>
      <c r="AJ11" s="88"/>
      <c r="AK11" s="88"/>
      <c r="AL11" s="88"/>
      <c r="AM11" s="88"/>
      <c r="AN11" s="88"/>
      <c r="AO11" s="88"/>
      <c r="AP11" s="88"/>
      <c r="AQ11" s="88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143"/>
      <c r="BW11" s="12"/>
    </row>
    <row r="12" spans="1:105" x14ac:dyDescent="0.25">
      <c r="A12" s="140">
        <f t="shared" si="1"/>
        <v>11</v>
      </c>
      <c r="B12" s="7">
        <f>SPC!T$37</f>
        <v>17.232445480875615</v>
      </c>
      <c r="C12" s="3">
        <f t="shared" si="2"/>
        <v>0.65351435382403833</v>
      </c>
      <c r="D12" s="4">
        <f t="shared" si="3"/>
        <v>0.54</v>
      </c>
      <c r="E12" s="3">
        <f t="shared" si="0"/>
        <v>0.74328763059357206</v>
      </c>
      <c r="F12" s="3">
        <f t="shared" si="4"/>
        <v>74.3287630593572</v>
      </c>
      <c r="G12" s="4"/>
      <c r="H12" s="4"/>
      <c r="I12" s="4"/>
      <c r="J12" s="142"/>
      <c r="K12" s="142"/>
      <c r="L12" s="5"/>
      <c r="M12" s="149"/>
      <c r="P12" s="127"/>
      <c r="Q12" s="166"/>
      <c r="R12" s="88" t="str">
        <f>IF(SPC!X8&gt;=7,1,"")</f>
        <v/>
      </c>
      <c r="S12" s="88" t="str">
        <f>IF(SPC!Z8&gt;=7,1,"")</f>
        <v/>
      </c>
      <c r="T12" s="88"/>
      <c r="U12" s="88"/>
      <c r="V12" s="23">
        <v>5</v>
      </c>
      <c r="W12" s="33">
        <v>0.57699999999999996</v>
      </c>
      <c r="X12" s="23">
        <v>0</v>
      </c>
      <c r="Y12" s="33">
        <v>2.1139999999999999</v>
      </c>
      <c r="Z12" s="101">
        <v>2.3260000000000001</v>
      </c>
      <c r="AA12" s="34">
        <v>1.29</v>
      </c>
      <c r="AB12" s="100">
        <v>0</v>
      </c>
      <c r="AC12" s="100">
        <v>2.1139999999999999</v>
      </c>
      <c r="AD12" s="103">
        <v>2.3260000000000001</v>
      </c>
      <c r="AE12" s="38">
        <v>0.69099999999999995</v>
      </c>
      <c r="AF12" s="36">
        <v>0</v>
      </c>
      <c r="AG12" s="37">
        <v>2.1139999999999999</v>
      </c>
      <c r="AH12" s="37">
        <v>2.3260000000000001</v>
      </c>
      <c r="AI12" s="88"/>
      <c r="AJ12" s="88"/>
      <c r="AK12" s="88"/>
      <c r="AL12" s="88"/>
      <c r="AM12" s="88"/>
      <c r="AN12" s="88"/>
      <c r="AO12" s="88"/>
      <c r="AP12" s="88"/>
      <c r="AQ12" s="88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88"/>
      <c r="BI12" s="88"/>
      <c r="BJ12" s="88"/>
      <c r="BK12" s="88"/>
      <c r="BL12" s="88"/>
      <c r="BM12" s="88"/>
      <c r="BN12" s="88"/>
      <c r="BO12" s="88"/>
      <c r="BP12" s="88"/>
      <c r="BQ12" s="88"/>
      <c r="BR12" s="88"/>
      <c r="BS12" s="88"/>
      <c r="BT12" s="88"/>
      <c r="BU12" s="88"/>
      <c r="BV12" s="143"/>
      <c r="BW12" s="12"/>
    </row>
    <row r="13" spans="1:105" x14ac:dyDescent="0.25">
      <c r="A13" s="140">
        <f t="shared" si="1"/>
        <v>12</v>
      </c>
      <c r="B13" s="7">
        <f>SPC!AC$37</f>
        <v>17.222663910821439</v>
      </c>
      <c r="C13" s="3">
        <f t="shared" si="2"/>
        <v>-1.0361640284813074</v>
      </c>
      <c r="D13" s="4">
        <f t="shared" si="3"/>
        <v>0.04</v>
      </c>
      <c r="E13" s="3">
        <f t="shared" si="0"/>
        <v>0.15006281265045684</v>
      </c>
      <c r="F13" s="3">
        <f t="shared" si="4"/>
        <v>15.006281265045684</v>
      </c>
      <c r="G13" s="4"/>
      <c r="H13" s="4"/>
      <c r="I13" s="4"/>
      <c r="J13" s="142"/>
      <c r="K13" s="142"/>
      <c r="L13" s="5"/>
      <c r="M13" s="149"/>
      <c r="P13" s="127"/>
      <c r="Q13" s="166"/>
      <c r="R13" s="88" t="str">
        <f>IF(SPC!X9&gt;=7,1,"")</f>
        <v/>
      </c>
      <c r="S13" s="88" t="str">
        <f>IF(SPC!Z9&gt;=7,1,"")</f>
        <v/>
      </c>
      <c r="T13" s="88"/>
      <c r="U13" s="88"/>
      <c r="V13" s="45"/>
      <c r="W13" s="45"/>
      <c r="X13" s="45"/>
      <c r="Y13" s="45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143"/>
      <c r="BW13" s="12"/>
    </row>
    <row r="14" spans="1:105" x14ac:dyDescent="0.25">
      <c r="A14" s="140">
        <f t="shared" si="1"/>
        <v>13</v>
      </c>
      <c r="B14" s="7">
        <f>SPC!AA$37</f>
        <v>17.223772299417032</v>
      </c>
      <c r="C14" s="3">
        <f t="shared" si="2"/>
        <v>-0.84469985260820879</v>
      </c>
      <c r="D14" s="4">
        <f t="shared" si="3"/>
        <v>0.28000000000000003</v>
      </c>
      <c r="E14" s="3">
        <f t="shared" si="0"/>
        <v>0.19913922089758435</v>
      </c>
      <c r="F14" s="3">
        <f t="shared" si="4"/>
        <v>19.913922089758433</v>
      </c>
      <c r="G14" s="4"/>
      <c r="H14" s="4"/>
      <c r="I14" s="4"/>
      <c r="J14" s="142"/>
      <c r="K14" s="142"/>
      <c r="L14" s="5"/>
      <c r="M14" s="149"/>
      <c r="P14" s="107"/>
      <c r="Q14" s="167"/>
      <c r="R14" s="88"/>
      <c r="S14" s="88"/>
      <c r="T14" s="88"/>
      <c r="U14" s="88"/>
      <c r="V14" s="88"/>
      <c r="W14" s="88"/>
      <c r="X14" s="88"/>
      <c r="Y14" s="88"/>
      <c r="Z14" s="88"/>
      <c r="AA14" s="45"/>
      <c r="AB14" s="50"/>
      <c r="AC14" s="88"/>
      <c r="AD14" s="88"/>
      <c r="AE14" s="88"/>
      <c r="AF14" s="88"/>
      <c r="AG14" s="88"/>
      <c r="AH14" s="88"/>
      <c r="AI14" s="88"/>
      <c r="AJ14" s="88"/>
      <c r="AK14" s="88"/>
      <c r="AL14" s="88"/>
      <c r="AM14" s="88"/>
      <c r="AN14" s="88"/>
      <c r="AO14" s="88"/>
      <c r="AP14" s="88"/>
      <c r="AQ14" s="88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143"/>
      <c r="BW14" s="12"/>
    </row>
    <row r="15" spans="1:105" x14ac:dyDescent="0.25">
      <c r="A15" s="140">
        <f t="shared" si="1"/>
        <v>14</v>
      </c>
      <c r="B15" s="7">
        <f>SPC!K$37</f>
        <v>17.223772299417032</v>
      </c>
      <c r="C15" s="3">
        <f t="shared" si="2"/>
        <v>-0.84469985260820879</v>
      </c>
      <c r="D15" s="4">
        <f t="shared" si="3"/>
        <v>0.28000000000000003</v>
      </c>
      <c r="E15" s="3">
        <f t="shared" si="0"/>
        <v>0.19913922089758435</v>
      </c>
      <c r="F15" s="3">
        <f t="shared" si="4"/>
        <v>19.913922089758433</v>
      </c>
      <c r="G15" s="4"/>
      <c r="H15" s="4"/>
      <c r="I15" s="4"/>
      <c r="J15" s="142"/>
      <c r="K15" s="142"/>
      <c r="L15" s="5"/>
      <c r="M15" s="149"/>
      <c r="P15" s="116"/>
      <c r="Q15" s="168"/>
      <c r="R15" s="392">
        <f ca="1">SUM(R7:S13)</f>
        <v>1</v>
      </c>
      <c r="S15" s="392"/>
      <c r="T15" s="88"/>
      <c r="U15" s="88"/>
      <c r="V15" s="45" t="s">
        <v>148</v>
      </c>
      <c r="W15" s="45">
        <f>IF(SPC!$P$5=2,W9,IF(SPC!$P$5=3,W10,IF(SPC!$P$5=4,W11,IF(SPC!$P$5=5,W12,""))))</f>
        <v>0.57699999999999996</v>
      </c>
      <c r="X15" s="45">
        <f>IF(SPC!$P$5&lt;6,0,"")</f>
        <v>0</v>
      </c>
      <c r="Y15" s="45">
        <f>IF(SPC!$P$5=2,Y9,IF(SPC!$P$5=3,Y10,IF(SPC!$P$5=4,Y11,IF(SPC!$P$5=5,Y12,""))))</f>
        <v>2.1139999999999999</v>
      </c>
      <c r="Z15" s="45">
        <f>IF(SPC!$P$5=2,Z9,IF(SPC!$P$5=3,Z10,IF(SPC!$P$5=4,Z11,IF(SPC!$P$5=5,Z12,""))))</f>
        <v>2.3260000000000001</v>
      </c>
      <c r="AA15" s="45" t="str">
        <f>IF(Formule!K1=2,AA9,"")</f>
        <v/>
      </c>
      <c r="AB15" s="45">
        <f>IF(SPC!$P$5&lt;6,0,"")</f>
        <v>0</v>
      </c>
      <c r="AC15" s="45" t="str">
        <f>IF(Formule!K1=2,AC9,"")</f>
        <v/>
      </c>
      <c r="AD15" s="45" t="str">
        <f>IF(Formule!K1=2,AD9,"")</f>
        <v/>
      </c>
      <c r="AE15" s="45">
        <f>IF(SPC!$P$5=2,AE9,IF(SPC!$P$5=3,AE10,IF(SPC!$P$5=4,AE11,IF(SPC!$P$5=5,AE12,""))))</f>
        <v>0.69099999999999995</v>
      </c>
      <c r="AF15" s="45">
        <f>IF(SPC!$P$5&lt;6,0,"")</f>
        <v>0</v>
      </c>
      <c r="AG15" s="45">
        <f>IF(SPC!$P$5=2,AG9,IF(SPC!$P$5=3,AG10,IF(SPC!$P$5=4,AG11,IF(SPC!$P$5=5,AG12,""))))</f>
        <v>2.1139999999999999</v>
      </c>
      <c r="AH15" s="45">
        <f>IF(SPC!$P$5=2,AH9,IF(SPC!$P$5=3,AH10,IF(SPC!$P$5=4,AH11,IF(SPC!$P$5=5,AH12,""))))</f>
        <v>2.3260000000000001</v>
      </c>
      <c r="AI15" s="88"/>
      <c r="AJ15" s="88"/>
      <c r="AK15" s="88"/>
      <c r="AL15" s="88"/>
      <c r="AM15" s="88"/>
      <c r="AN15" s="88"/>
      <c r="AO15" s="88"/>
      <c r="AP15" s="88"/>
      <c r="AQ15" s="88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88"/>
      <c r="BI15" s="88"/>
      <c r="BJ15" s="88"/>
      <c r="BK15" s="88"/>
      <c r="BL15" s="88"/>
      <c r="BM15" s="88"/>
      <c r="BN15" s="88"/>
      <c r="BO15" s="88"/>
      <c r="BP15" s="88"/>
      <c r="BQ15" s="88"/>
      <c r="BR15" s="88"/>
      <c r="BS15" s="88"/>
      <c r="BT15" s="88"/>
      <c r="BU15" s="88"/>
      <c r="BV15" s="143"/>
      <c r="BW15" s="12"/>
    </row>
    <row r="16" spans="1:105" x14ac:dyDescent="0.25">
      <c r="A16" s="140">
        <f t="shared" si="1"/>
        <v>15</v>
      </c>
      <c r="B16" s="7">
        <f>SPC!S$37</f>
        <v>17.223772299417032</v>
      </c>
      <c r="C16" s="3">
        <f t="shared" si="2"/>
        <v>-0.84469985260820879</v>
      </c>
      <c r="D16" s="4">
        <f t="shared" si="3"/>
        <v>0.28000000000000003</v>
      </c>
      <c r="E16" s="3">
        <f t="shared" si="0"/>
        <v>0.19913922089758435</v>
      </c>
      <c r="F16" s="3">
        <f t="shared" si="4"/>
        <v>19.913922089758433</v>
      </c>
      <c r="G16" s="4"/>
      <c r="H16" s="4"/>
      <c r="I16" s="4"/>
      <c r="J16" s="142"/>
      <c r="K16" s="142"/>
      <c r="L16" s="5"/>
      <c r="M16" s="149"/>
      <c r="P16" s="106"/>
      <c r="Q16" s="144"/>
      <c r="R16" s="88"/>
      <c r="S16" s="88"/>
      <c r="T16" s="88"/>
      <c r="U16" s="88"/>
      <c r="V16" s="164"/>
      <c r="W16" s="164"/>
      <c r="X16" s="164"/>
      <c r="Y16" s="164"/>
      <c r="Z16" s="20"/>
      <c r="AA16" s="20"/>
      <c r="AB16" s="20"/>
      <c r="AC16" s="88"/>
      <c r="AD16" s="88"/>
      <c r="AE16" s="88"/>
      <c r="AF16" s="88"/>
      <c r="AG16" s="88"/>
      <c r="AH16" s="88"/>
      <c r="AI16" s="88"/>
      <c r="AJ16" s="88"/>
      <c r="AK16" s="88"/>
      <c r="AL16" s="88"/>
      <c r="AM16" s="88"/>
      <c r="AN16" s="88"/>
      <c r="AO16" s="88"/>
      <c r="AP16" s="88"/>
      <c r="AQ16" s="88"/>
      <c r="AR16" s="19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88"/>
      <c r="BI16" s="88"/>
      <c r="BJ16" s="88"/>
      <c r="BK16" s="88"/>
      <c r="BL16" s="88"/>
      <c r="BM16" s="88"/>
      <c r="BN16" s="88"/>
      <c r="BO16" s="88"/>
      <c r="BP16" s="88"/>
      <c r="BQ16" s="88"/>
      <c r="BR16" s="88"/>
      <c r="BS16" s="88"/>
      <c r="BT16" s="88"/>
      <c r="BU16" s="88"/>
      <c r="BV16" s="143"/>
      <c r="BW16" s="12"/>
    </row>
    <row r="17" spans="1:75" x14ac:dyDescent="0.25">
      <c r="A17" s="140">
        <f t="shared" si="1"/>
        <v>16</v>
      </c>
      <c r="B17" s="7">
        <f>SPC!W$37</f>
        <v>17.223772299417032</v>
      </c>
      <c r="C17" s="3">
        <f t="shared" si="2"/>
        <v>-0.84469985260820879</v>
      </c>
      <c r="D17" s="4">
        <f t="shared" si="3"/>
        <v>0.28000000000000003</v>
      </c>
      <c r="E17" s="3">
        <f t="shared" si="0"/>
        <v>0.19913922089758435</v>
      </c>
      <c r="F17" s="3">
        <f t="shared" si="4"/>
        <v>19.913922089758433</v>
      </c>
      <c r="G17" s="4"/>
      <c r="H17" s="4"/>
      <c r="I17" s="4"/>
      <c r="J17" s="142"/>
      <c r="K17" s="142"/>
      <c r="L17" s="5"/>
      <c r="M17" s="149"/>
      <c r="P17" s="106"/>
      <c r="Q17" s="144"/>
      <c r="R17" s="88"/>
      <c r="S17" s="88"/>
      <c r="T17" s="88"/>
      <c r="U17" s="88"/>
      <c r="V17" s="164"/>
      <c r="W17" s="164"/>
      <c r="X17" s="164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  <c r="BT17" s="88"/>
      <c r="BU17" s="88"/>
      <c r="BV17" s="143"/>
      <c r="BW17" s="12"/>
    </row>
    <row r="18" spans="1:75" x14ac:dyDescent="0.25">
      <c r="A18" s="140">
        <f t="shared" si="1"/>
        <v>17</v>
      </c>
      <c r="B18" s="7">
        <f>SPC!Q$37</f>
        <v>17.222663910821439</v>
      </c>
      <c r="C18" s="3">
        <f t="shared" si="2"/>
        <v>-1.0361640284813074</v>
      </c>
      <c r="D18" s="4">
        <f t="shared" si="3"/>
        <v>0.04</v>
      </c>
      <c r="E18" s="3">
        <f t="shared" si="0"/>
        <v>0.15006281265045684</v>
      </c>
      <c r="F18" s="3">
        <f t="shared" si="4"/>
        <v>15.006281265045684</v>
      </c>
      <c r="G18" s="4"/>
      <c r="H18" s="4"/>
      <c r="I18" s="4"/>
      <c r="J18" s="142"/>
      <c r="K18" s="142"/>
      <c r="L18" s="5"/>
      <c r="M18" s="149"/>
      <c r="P18" s="106"/>
      <c r="Q18" s="144"/>
      <c r="R18" s="88"/>
      <c r="S18" s="88"/>
      <c r="T18" s="88"/>
      <c r="U18" s="88"/>
      <c r="V18" s="164"/>
      <c r="W18" s="164"/>
      <c r="X18" s="164"/>
      <c r="Y18" s="88"/>
      <c r="Z18" s="88"/>
      <c r="AA18" s="88"/>
      <c r="AB18" s="88"/>
      <c r="AC18" s="88"/>
      <c r="AD18" s="88"/>
      <c r="AE18" s="88"/>
      <c r="AF18" s="88"/>
      <c r="AG18" s="88"/>
      <c r="AH18" s="88"/>
      <c r="AI18" s="88"/>
      <c r="AJ18" s="88"/>
      <c r="AK18" s="88"/>
      <c r="AL18" s="88"/>
      <c r="AM18" s="88"/>
      <c r="AN18" s="88"/>
      <c r="AO18" s="88"/>
      <c r="AP18" s="88"/>
      <c r="AQ18" s="88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88"/>
      <c r="BI18" s="88"/>
      <c r="BJ18" s="88"/>
      <c r="BK18" s="88"/>
      <c r="BL18" s="88"/>
      <c r="BM18" s="88"/>
      <c r="BN18" s="88"/>
      <c r="BO18" s="88"/>
      <c r="BP18" s="88"/>
      <c r="BQ18" s="88"/>
      <c r="BR18" s="88"/>
      <c r="BS18" s="88"/>
      <c r="BT18" s="88"/>
      <c r="BU18" s="88"/>
      <c r="BV18" s="143"/>
      <c r="BW18" s="12"/>
    </row>
    <row r="19" spans="1:75" x14ac:dyDescent="0.25">
      <c r="A19" s="140">
        <f t="shared" si="1"/>
        <v>18</v>
      </c>
      <c r="B19" s="7">
        <f>SPC!X$37</f>
        <v>17.232445480875615</v>
      </c>
      <c r="C19" s="3">
        <f t="shared" si="2"/>
        <v>0.65351435382403833</v>
      </c>
      <c r="D19" s="4">
        <f t="shared" si="3"/>
        <v>0.54</v>
      </c>
      <c r="E19" s="3">
        <f t="shared" si="0"/>
        <v>0.74328763059357206</v>
      </c>
      <c r="F19" s="3">
        <f t="shared" si="4"/>
        <v>74.3287630593572</v>
      </c>
      <c r="G19" s="4"/>
      <c r="H19" s="4"/>
      <c r="I19" s="4"/>
      <c r="J19" s="142"/>
      <c r="K19" s="142"/>
      <c r="L19" s="5"/>
      <c r="M19" s="149"/>
      <c r="P19" s="106"/>
      <c r="Q19" s="144"/>
      <c r="R19" s="88"/>
      <c r="S19" s="88"/>
      <c r="T19" s="88"/>
      <c r="U19" s="88"/>
      <c r="V19" s="164"/>
      <c r="W19" s="164"/>
      <c r="X19" s="164"/>
      <c r="Y19" s="164"/>
      <c r="Z19" s="20"/>
      <c r="AA19" s="20"/>
      <c r="AB19" s="20"/>
      <c r="AC19" s="88"/>
      <c r="AD19" s="88"/>
      <c r="AE19" s="88"/>
      <c r="AF19" s="88"/>
      <c r="AG19" s="88"/>
      <c r="AH19" s="88"/>
      <c r="AI19" s="88"/>
      <c r="AJ19" s="88"/>
      <c r="AK19" s="88"/>
      <c r="AL19" s="88"/>
      <c r="AM19" s="88"/>
      <c r="AN19" s="88"/>
      <c r="AO19" s="88"/>
      <c r="AP19" s="88"/>
      <c r="AQ19" s="88"/>
      <c r="AR19" s="26"/>
      <c r="AS19" s="26"/>
      <c r="AT19" s="26"/>
      <c r="BU19" s="88"/>
      <c r="BV19" s="143"/>
      <c r="BW19" s="12"/>
    </row>
    <row r="20" spans="1:75" x14ac:dyDescent="0.25">
      <c r="A20" s="140">
        <f t="shared" si="1"/>
        <v>19</v>
      </c>
      <c r="B20" s="7">
        <f>SPC!L$37</f>
        <v>17.232445480875615</v>
      </c>
      <c r="C20" s="3">
        <f t="shared" si="2"/>
        <v>0.65351435382403833</v>
      </c>
      <c r="D20" s="4">
        <f t="shared" si="3"/>
        <v>0.54</v>
      </c>
      <c r="E20" s="3">
        <f t="shared" si="0"/>
        <v>0.74328763059357206</v>
      </c>
      <c r="F20" s="3">
        <f t="shared" si="4"/>
        <v>74.3287630593572</v>
      </c>
      <c r="G20" s="4"/>
      <c r="H20" s="4"/>
      <c r="I20" s="4"/>
      <c r="J20" s="142"/>
      <c r="K20" s="142"/>
      <c r="L20" s="5"/>
      <c r="M20" s="149"/>
      <c r="P20" s="106"/>
      <c r="Q20" s="144"/>
      <c r="R20" s="88"/>
      <c r="S20" s="164"/>
      <c r="T20" s="164"/>
      <c r="U20" s="164"/>
      <c r="V20" s="164"/>
      <c r="W20" s="164"/>
      <c r="X20" s="164"/>
      <c r="Y20" s="164"/>
      <c r="Z20" s="164"/>
      <c r="AA20" s="164"/>
      <c r="AB20" s="164"/>
      <c r="AC20" s="164"/>
      <c r="AD20" s="164"/>
      <c r="AE20" s="164"/>
      <c r="AF20" s="164"/>
      <c r="AG20" s="164"/>
      <c r="AH20" s="164"/>
      <c r="AI20" s="164"/>
      <c r="AJ20" s="164"/>
      <c r="AK20" s="164">
        <f>SPC!K9</f>
        <v>1</v>
      </c>
      <c r="AL20" s="164"/>
      <c r="AM20" s="88"/>
      <c r="AN20" s="88"/>
      <c r="AO20" s="88"/>
      <c r="AP20" s="88"/>
      <c r="AQ20" s="88"/>
      <c r="AR20" s="19"/>
      <c r="AS20" s="26"/>
      <c r="AT20" s="26"/>
      <c r="BU20" s="88"/>
      <c r="BV20" s="143"/>
      <c r="BW20" s="12"/>
    </row>
    <row r="21" spans="1:75" x14ac:dyDescent="0.25">
      <c r="A21" s="140">
        <f t="shared" si="1"/>
        <v>20</v>
      </c>
      <c r="B21" s="7">
        <f>SPC!R$37</f>
        <v>17.236359515325198</v>
      </c>
      <c r="C21" s="3">
        <f t="shared" si="2"/>
        <v>1.3296286545373965</v>
      </c>
      <c r="D21" s="4">
        <f t="shared" si="3"/>
        <v>0.78</v>
      </c>
      <c r="E21" s="3">
        <f t="shared" si="0"/>
        <v>0.90817967389589449</v>
      </c>
      <c r="F21" s="3">
        <f t="shared" si="4"/>
        <v>90.817967389589455</v>
      </c>
      <c r="G21" s="4"/>
      <c r="H21" s="4"/>
      <c r="I21" s="4"/>
      <c r="J21" s="142"/>
      <c r="K21" s="142"/>
      <c r="L21" s="5"/>
      <c r="M21" s="149"/>
      <c r="P21" s="106"/>
      <c r="Q21" s="144"/>
      <c r="R21" s="88"/>
      <c r="S21" s="164"/>
      <c r="T21" s="164"/>
      <c r="U21" s="164"/>
      <c r="V21" s="169"/>
      <c r="W21" s="169"/>
      <c r="X21" s="169"/>
      <c r="Y21" s="164"/>
      <c r="Z21" s="164"/>
      <c r="AA21" s="164"/>
      <c r="AB21" s="164"/>
      <c r="AC21" s="164"/>
      <c r="AD21" s="164"/>
      <c r="AE21" s="164">
        <f t="shared" ref="AE21:AE31" si="5">AVERAGE(AF21:AG21)</f>
        <v>17.099999999999998</v>
      </c>
      <c r="AF21" s="164">
        <f>AG21-AJ36</f>
        <v>17.079999999999998</v>
      </c>
      <c r="AG21" s="164">
        <f>AJ33</f>
        <v>17.119999999999997</v>
      </c>
      <c r="AH21" s="164">
        <f ca="1">COUNTIF(SPC!$C$32:$BA$36,"&lt;="&amp;INDIRECT(AI21))</f>
        <v>0</v>
      </c>
      <c r="AI21" s="164" t="s">
        <v>201</v>
      </c>
      <c r="AJ21" s="164">
        <v>0</v>
      </c>
      <c r="AK21" s="164" t="s">
        <v>34</v>
      </c>
      <c r="AL21" s="164"/>
      <c r="AM21" s="88"/>
      <c r="AN21" s="88"/>
      <c r="AO21" s="88"/>
      <c r="AP21" s="88"/>
      <c r="AQ21" s="88"/>
      <c r="AR21" s="26"/>
      <c r="AS21" s="26"/>
      <c r="AT21" s="26"/>
      <c r="BU21" s="88"/>
      <c r="BV21" s="143"/>
      <c r="BW21" s="12"/>
    </row>
    <row r="22" spans="1:75" x14ac:dyDescent="0.25">
      <c r="A22" s="140">
        <f t="shared" si="1"/>
        <v>21</v>
      </c>
      <c r="B22" s="7">
        <f>SPC!C$37</f>
        <v>17.223772299417032</v>
      </c>
      <c r="C22" s="3">
        <f t="shared" si="2"/>
        <v>-0.84469985260820879</v>
      </c>
      <c r="D22" s="4">
        <f t="shared" si="3"/>
        <v>0.28000000000000003</v>
      </c>
      <c r="E22" s="3">
        <f t="shared" si="0"/>
        <v>0.19913922089758435</v>
      </c>
      <c r="F22" s="3">
        <f t="shared" si="4"/>
        <v>19.913922089758433</v>
      </c>
      <c r="G22" s="4"/>
      <c r="H22" s="4"/>
      <c r="I22" s="4"/>
      <c r="J22" s="142"/>
      <c r="K22" s="142"/>
      <c r="L22" s="5"/>
      <c r="M22" s="149"/>
      <c r="P22" s="106"/>
      <c r="Q22" s="144"/>
      <c r="R22" s="88"/>
      <c r="S22" s="164"/>
      <c r="T22" s="164"/>
      <c r="U22" s="164"/>
      <c r="V22" s="169"/>
      <c r="W22" s="169"/>
      <c r="X22" s="169"/>
      <c r="Y22" s="164"/>
      <c r="Z22" s="164"/>
      <c r="AA22" s="164"/>
      <c r="AB22" s="164"/>
      <c r="AC22" s="164"/>
      <c r="AD22" s="164"/>
      <c r="AE22" s="164">
        <f t="shared" si="5"/>
        <v>17.139999999999997</v>
      </c>
      <c r="AF22" s="164">
        <f t="shared" ref="AF22:AF31" si="6">AG21</f>
        <v>17.119999999999997</v>
      </c>
      <c r="AG22" s="164">
        <f t="shared" ref="AG22:AG31" si="7">AF22+$AJ$36</f>
        <v>17.159999999999997</v>
      </c>
      <c r="AH22" s="164">
        <f ca="1">COUNTIF(SPC!$C$32:$BA$36,"&lt;="&amp;INDIRECT(AI22))</f>
        <v>0</v>
      </c>
      <c r="AI22" s="164" t="s">
        <v>202</v>
      </c>
      <c r="AJ22" s="164">
        <f t="shared" ref="AJ22:AJ31" ca="1" si="8">AH22-AH21</f>
        <v>0</v>
      </c>
      <c r="AK22" s="164" t="s">
        <v>43</v>
      </c>
      <c r="AL22" s="164"/>
      <c r="AM22" s="88"/>
      <c r="AN22" s="88"/>
      <c r="AO22" s="88"/>
      <c r="AP22" s="88"/>
      <c r="AQ22" s="88"/>
      <c r="AR22" s="26"/>
      <c r="AS22" s="26"/>
      <c r="AT22" s="26"/>
      <c r="BU22" s="88"/>
      <c r="BV22" s="143"/>
      <c r="BW22" s="12"/>
    </row>
    <row r="23" spans="1:75" x14ac:dyDescent="0.25">
      <c r="A23" s="140">
        <f t="shared" si="1"/>
        <v>22</v>
      </c>
      <c r="B23" s="7">
        <f>SPC!E$37</f>
        <v>17.222663910821439</v>
      </c>
      <c r="C23" s="3">
        <f t="shared" si="2"/>
        <v>-1.0361640284813074</v>
      </c>
      <c r="D23" s="4">
        <f t="shared" si="3"/>
        <v>0.04</v>
      </c>
      <c r="E23" s="3">
        <f t="shared" si="0"/>
        <v>0.15006281265045684</v>
      </c>
      <c r="F23" s="3">
        <f t="shared" si="4"/>
        <v>15.006281265045684</v>
      </c>
      <c r="G23" s="4"/>
      <c r="H23" s="4"/>
      <c r="I23" s="4"/>
      <c r="J23" s="142"/>
      <c r="K23" s="142"/>
      <c r="L23" s="5"/>
      <c r="M23" s="149"/>
      <c r="P23" s="106"/>
      <c r="Q23" s="144"/>
      <c r="R23" s="88"/>
      <c r="S23" s="164"/>
      <c r="T23" s="164"/>
      <c r="U23" s="164"/>
      <c r="V23" s="169"/>
      <c r="W23" s="169"/>
      <c r="X23" s="169"/>
      <c r="Y23" s="164"/>
      <c r="Z23" s="164"/>
      <c r="AA23" s="164"/>
      <c r="AB23" s="164"/>
      <c r="AC23" s="164"/>
      <c r="AD23" s="164"/>
      <c r="AE23" s="164">
        <f t="shared" si="5"/>
        <v>17.179999999999996</v>
      </c>
      <c r="AF23" s="164">
        <f t="shared" si="6"/>
        <v>17.159999999999997</v>
      </c>
      <c r="AG23" s="164">
        <f t="shared" si="7"/>
        <v>17.199999999999996</v>
      </c>
      <c r="AH23" s="164">
        <f ca="1">COUNTIF(SPC!$C$32:$BA$36,"&lt;="&amp;INDIRECT(AI23))</f>
        <v>0</v>
      </c>
      <c r="AI23" s="164" t="s">
        <v>203</v>
      </c>
      <c r="AJ23" s="164">
        <f t="shared" ca="1" si="8"/>
        <v>0</v>
      </c>
      <c r="AK23" s="164" t="s">
        <v>46</v>
      </c>
      <c r="AL23" s="164"/>
      <c r="AM23" s="88"/>
      <c r="AN23" s="88"/>
      <c r="AO23" s="88"/>
      <c r="AP23" s="88"/>
      <c r="AQ23" s="88"/>
      <c r="AR23" s="26"/>
      <c r="AS23" s="26"/>
      <c r="AT23" s="26"/>
      <c r="BU23" s="88"/>
      <c r="BV23" s="143"/>
      <c r="BW23" s="12"/>
    </row>
    <row r="24" spans="1:75" x14ac:dyDescent="0.25">
      <c r="A24" s="140">
        <f t="shared" si="1"/>
        <v>23</v>
      </c>
      <c r="B24" s="7">
        <f>SPC!F$37</f>
        <v>17.236359515325198</v>
      </c>
      <c r="C24" s="3">
        <f t="shared" si="2"/>
        <v>1.3296286545373965</v>
      </c>
      <c r="D24" s="4">
        <f t="shared" si="3"/>
        <v>0.78</v>
      </c>
      <c r="E24" s="3">
        <f t="shared" si="0"/>
        <v>0.90817967389589449</v>
      </c>
      <c r="F24" s="3">
        <f t="shared" si="4"/>
        <v>90.817967389589455</v>
      </c>
      <c r="G24" s="4"/>
      <c r="H24" s="4"/>
      <c r="I24" s="4"/>
      <c r="J24" s="142"/>
      <c r="K24" s="142"/>
      <c r="L24" s="5"/>
      <c r="M24" s="149"/>
      <c r="P24" s="106"/>
      <c r="Q24" s="144"/>
      <c r="R24" s="88"/>
      <c r="S24" s="164"/>
      <c r="T24" s="164"/>
      <c r="U24" s="164"/>
      <c r="V24" s="169"/>
      <c r="W24" s="169"/>
      <c r="X24" s="169"/>
      <c r="Y24" s="164"/>
      <c r="Z24" s="164"/>
      <c r="AA24" s="164"/>
      <c r="AB24" s="164"/>
      <c r="AC24" s="164"/>
      <c r="AD24" s="164"/>
      <c r="AE24" s="164">
        <f t="shared" si="5"/>
        <v>17.219999999999995</v>
      </c>
      <c r="AF24" s="164">
        <f t="shared" si="6"/>
        <v>17.199999999999996</v>
      </c>
      <c r="AG24" s="164">
        <f t="shared" si="7"/>
        <v>17.239999999999995</v>
      </c>
      <c r="AH24" s="164">
        <f ca="1">COUNTIF(SPC!$C$32:$BA$36,"&lt;="&amp;INDIRECT(AI24))</f>
        <v>0</v>
      </c>
      <c r="AI24" s="164" t="s">
        <v>204</v>
      </c>
      <c r="AJ24" s="164">
        <f t="shared" ca="1" si="8"/>
        <v>0</v>
      </c>
      <c r="AK24" s="164" t="s">
        <v>48</v>
      </c>
      <c r="AL24" s="164"/>
      <c r="AM24" s="88"/>
      <c r="AN24" s="88"/>
      <c r="AO24" s="88"/>
      <c r="AP24" s="88"/>
      <c r="AQ24" s="88"/>
      <c r="AR24" s="19"/>
      <c r="AS24" s="20"/>
      <c r="AT24" s="20"/>
      <c r="BU24" s="88"/>
      <c r="BV24" s="143"/>
      <c r="BW24" s="12"/>
    </row>
    <row r="25" spans="1:75" x14ac:dyDescent="0.25">
      <c r="A25" s="140">
        <f t="shared" si="1"/>
        <v>24</v>
      </c>
      <c r="B25" s="7">
        <f>SPC!O$37</f>
        <v>17.223772299417032</v>
      </c>
      <c r="C25" s="3">
        <f t="shared" si="2"/>
        <v>-0.84469985260820879</v>
      </c>
      <c r="D25" s="4">
        <f t="shared" si="3"/>
        <v>0.28000000000000003</v>
      </c>
      <c r="E25" s="3">
        <f t="shared" si="0"/>
        <v>0.19913922089758435</v>
      </c>
      <c r="F25" s="3">
        <f t="shared" si="4"/>
        <v>19.913922089758433</v>
      </c>
      <c r="G25" s="4"/>
      <c r="H25" s="4"/>
      <c r="I25" s="4"/>
      <c r="J25" s="142"/>
      <c r="K25" s="142"/>
      <c r="L25" s="5"/>
      <c r="M25" s="149"/>
      <c r="P25" s="116"/>
      <c r="Q25" s="168"/>
      <c r="R25" s="88"/>
      <c r="S25" s="164"/>
      <c r="T25" s="164"/>
      <c r="U25" s="164"/>
      <c r="V25" s="169"/>
      <c r="W25" s="169"/>
      <c r="X25" s="169"/>
      <c r="Y25" s="164"/>
      <c r="Z25" s="164"/>
      <c r="AA25" s="164"/>
      <c r="AB25" s="164"/>
      <c r="AC25" s="164"/>
      <c r="AD25" s="164"/>
      <c r="AE25" s="164">
        <f t="shared" si="5"/>
        <v>17.259999999999994</v>
      </c>
      <c r="AF25" s="164">
        <f t="shared" si="6"/>
        <v>17.239999999999995</v>
      </c>
      <c r="AG25" s="164">
        <f t="shared" si="7"/>
        <v>17.279999999999994</v>
      </c>
      <c r="AH25" s="164">
        <f ca="1">COUNTIF(SPC!$C$32:$BA$36,"&lt;="&amp;INDIRECT(AI25))</f>
        <v>0</v>
      </c>
      <c r="AI25" s="164" t="s">
        <v>205</v>
      </c>
      <c r="AJ25" s="164">
        <f t="shared" ca="1" si="8"/>
        <v>0</v>
      </c>
      <c r="AK25" s="164"/>
      <c r="AL25" s="164"/>
      <c r="AM25" s="88"/>
      <c r="AN25" s="88"/>
      <c r="AO25" s="88"/>
      <c r="AP25" s="88"/>
      <c r="AQ25" s="88"/>
      <c r="AR25" s="26"/>
      <c r="AS25" s="26"/>
      <c r="AT25" s="26"/>
      <c r="BU25" s="88"/>
      <c r="BV25" s="143"/>
      <c r="BW25" s="12"/>
    </row>
    <row r="26" spans="1:75" x14ac:dyDescent="0.25">
      <c r="A26" s="140">
        <f t="shared" si="1"/>
        <v>25</v>
      </c>
      <c r="B26" s="7">
        <f>SPC!D$37</f>
        <v>17.232445480875615</v>
      </c>
      <c r="C26" s="3">
        <f t="shared" si="2"/>
        <v>0.65351435382403833</v>
      </c>
      <c r="D26" s="4">
        <f t="shared" si="3"/>
        <v>0.54</v>
      </c>
      <c r="E26" s="3">
        <f t="shared" si="0"/>
        <v>0.74328763059357206</v>
      </c>
      <c r="F26" s="3">
        <f t="shared" si="4"/>
        <v>74.3287630593572</v>
      </c>
      <c r="G26" s="4"/>
      <c r="H26" s="4"/>
      <c r="I26" s="4"/>
      <c r="J26" s="142"/>
      <c r="K26" s="142"/>
      <c r="L26" s="5"/>
      <c r="M26" s="149"/>
      <c r="P26" s="106"/>
      <c r="Q26" s="144"/>
      <c r="R26" s="88"/>
      <c r="S26" s="164"/>
      <c r="T26" s="164"/>
      <c r="U26" s="164"/>
      <c r="V26" s="169"/>
      <c r="W26" s="169"/>
      <c r="X26" s="169"/>
      <c r="Y26" s="164"/>
      <c r="Z26" s="164"/>
      <c r="AA26" s="164"/>
      <c r="AB26" s="164"/>
      <c r="AC26" s="164"/>
      <c r="AD26" s="164"/>
      <c r="AE26" s="164">
        <f t="shared" si="5"/>
        <v>17.299999999999994</v>
      </c>
      <c r="AF26" s="164">
        <f t="shared" si="6"/>
        <v>17.279999999999994</v>
      </c>
      <c r="AG26" s="164">
        <f t="shared" si="7"/>
        <v>17.319999999999993</v>
      </c>
      <c r="AH26" s="164">
        <f ca="1">COUNTIF(SPC!$C$32:$BA$36,"&lt;="&amp;INDIRECT(AI26))</f>
        <v>0</v>
      </c>
      <c r="AI26" s="164" t="s">
        <v>206</v>
      </c>
      <c r="AJ26" s="164">
        <f t="shared" ca="1" si="8"/>
        <v>0</v>
      </c>
      <c r="AK26" s="164"/>
      <c r="AL26" s="164"/>
      <c r="AM26" s="88"/>
      <c r="AN26" s="88"/>
      <c r="AO26" s="88"/>
      <c r="AP26" s="88"/>
      <c r="AQ26" s="88"/>
      <c r="AR26" s="26"/>
      <c r="AS26" s="26"/>
      <c r="AT26" s="26"/>
      <c r="BU26" s="88"/>
      <c r="BV26" s="143"/>
      <c r="BW26" s="12"/>
    </row>
    <row r="27" spans="1:75" x14ac:dyDescent="0.25">
      <c r="A27" s="140">
        <f t="shared" si="1"/>
        <v>26</v>
      </c>
      <c r="B27" s="7">
        <f>SPC!P$37</f>
        <v>17.232445480875615</v>
      </c>
      <c r="C27" s="3">
        <f t="shared" si="2"/>
        <v>0.65351435382403833</v>
      </c>
      <c r="D27" s="4">
        <f t="shared" si="3"/>
        <v>0.54</v>
      </c>
      <c r="E27" s="3">
        <f t="shared" si="0"/>
        <v>0.74328763059357206</v>
      </c>
      <c r="F27" s="3">
        <f t="shared" si="4"/>
        <v>74.3287630593572</v>
      </c>
      <c r="G27" s="142"/>
      <c r="H27" s="142"/>
      <c r="I27" s="142"/>
      <c r="J27" s="142"/>
      <c r="K27" s="142"/>
      <c r="L27" s="5"/>
      <c r="M27" s="149"/>
      <c r="P27" s="106"/>
      <c r="Q27" s="144"/>
      <c r="R27" s="88"/>
      <c r="S27" s="164"/>
      <c r="T27" s="164"/>
      <c r="U27" s="164"/>
      <c r="V27" s="169"/>
      <c r="W27" s="169"/>
      <c r="X27" s="169"/>
      <c r="Y27" s="164"/>
      <c r="Z27" s="164"/>
      <c r="AA27" s="164"/>
      <c r="AB27" s="164"/>
      <c r="AC27" s="164"/>
      <c r="AD27" s="164"/>
      <c r="AE27" s="164">
        <f t="shared" si="5"/>
        <v>17.339999999999993</v>
      </c>
      <c r="AF27" s="164">
        <f t="shared" si="6"/>
        <v>17.319999999999993</v>
      </c>
      <c r="AG27" s="164">
        <f t="shared" si="7"/>
        <v>17.359999999999992</v>
      </c>
      <c r="AH27" s="164">
        <f ca="1">COUNTIF(SPC!$C$32:$BA$36,"&lt;="&amp;INDIRECT(AI27))</f>
        <v>0</v>
      </c>
      <c r="AI27" s="164" t="s">
        <v>207</v>
      </c>
      <c r="AJ27" s="164">
        <f t="shared" ca="1" si="8"/>
        <v>0</v>
      </c>
      <c r="AK27" s="164"/>
      <c r="AL27" s="164"/>
      <c r="AM27" s="88"/>
      <c r="AN27" s="88"/>
      <c r="AO27" s="88"/>
      <c r="AP27" s="88"/>
      <c r="AQ27" s="88"/>
      <c r="AR27" s="26"/>
      <c r="AS27" s="26"/>
      <c r="AT27" s="26"/>
      <c r="BU27" s="88"/>
      <c r="BV27" s="143"/>
      <c r="BW27" s="12"/>
    </row>
    <row r="28" spans="1:75" x14ac:dyDescent="0.25">
      <c r="A28" s="140">
        <f t="shared" si="1"/>
        <v>27</v>
      </c>
      <c r="B28" s="7">
        <f>SPC!AD$37</f>
        <v>17.236359515325198</v>
      </c>
      <c r="C28" s="3">
        <f t="shared" si="2"/>
        <v>1.3296286545373965</v>
      </c>
      <c r="D28" s="4">
        <f t="shared" si="3"/>
        <v>0.78</v>
      </c>
      <c r="E28" s="3">
        <f t="shared" si="0"/>
        <v>0.90817967389589449</v>
      </c>
      <c r="F28" s="3">
        <f t="shared" si="4"/>
        <v>90.817967389589455</v>
      </c>
      <c r="G28" s="142"/>
      <c r="H28" s="142"/>
      <c r="I28" s="142"/>
      <c r="J28" s="142"/>
      <c r="K28" s="142"/>
      <c r="L28" s="5"/>
      <c r="M28" s="149"/>
      <c r="P28" s="106"/>
      <c r="Q28" s="144"/>
      <c r="R28" s="88"/>
      <c r="S28" s="164"/>
      <c r="T28" s="164"/>
      <c r="U28" s="164"/>
      <c r="V28" s="169"/>
      <c r="W28" s="169"/>
      <c r="X28" s="169"/>
      <c r="Y28" s="164"/>
      <c r="Z28" s="164"/>
      <c r="AA28" s="164"/>
      <c r="AB28" s="164"/>
      <c r="AC28" s="164"/>
      <c r="AD28" s="164"/>
      <c r="AE28" s="164">
        <f t="shared" si="5"/>
        <v>17.379999999999992</v>
      </c>
      <c r="AF28" s="164">
        <f t="shared" si="6"/>
        <v>17.359999999999992</v>
      </c>
      <c r="AG28" s="164">
        <f t="shared" si="7"/>
        <v>17.399999999999991</v>
      </c>
      <c r="AH28" s="164">
        <f ca="1">COUNTIF(SPC!$C$32:$BA$36,"&lt;="&amp;INDIRECT(AI28))</f>
        <v>0</v>
      </c>
      <c r="AI28" s="164" t="s">
        <v>208</v>
      </c>
      <c r="AJ28" s="164">
        <f t="shared" ca="1" si="8"/>
        <v>0</v>
      </c>
      <c r="AK28" s="164"/>
      <c r="AL28" s="164"/>
      <c r="AM28" s="88"/>
      <c r="AN28" s="88"/>
      <c r="AO28" s="88"/>
      <c r="AP28" s="88"/>
      <c r="AQ28" s="88"/>
      <c r="AR28" s="19"/>
      <c r="AS28" s="20"/>
      <c r="AT28" s="20"/>
      <c r="BU28" s="88"/>
      <c r="BV28" s="143"/>
      <c r="BW28" s="12"/>
    </row>
    <row r="29" spans="1:75" x14ac:dyDescent="0.25">
      <c r="A29" s="140">
        <f t="shared" si="1"/>
        <v>28</v>
      </c>
      <c r="B29" s="7">
        <f>SPC!AE$37</f>
        <v>17.223772299417032</v>
      </c>
      <c r="C29" s="3">
        <f t="shared" si="2"/>
        <v>-0.84469985260820879</v>
      </c>
      <c r="D29" s="4">
        <f t="shared" si="3"/>
        <v>0.28000000000000003</v>
      </c>
      <c r="E29" s="3">
        <f t="shared" si="0"/>
        <v>0.19913922089758435</v>
      </c>
      <c r="F29" s="3">
        <f t="shared" si="4"/>
        <v>19.913922089758433</v>
      </c>
      <c r="G29" s="142"/>
      <c r="H29" s="142"/>
      <c r="I29" s="142"/>
      <c r="J29" s="142"/>
      <c r="K29" s="142"/>
      <c r="L29" s="5"/>
      <c r="M29" s="149"/>
      <c r="P29" s="106"/>
      <c r="Q29" s="144"/>
      <c r="R29" s="88"/>
      <c r="S29" s="164"/>
      <c r="T29" s="164"/>
      <c r="U29" s="164"/>
      <c r="V29" s="169"/>
      <c r="W29" s="169"/>
      <c r="X29" s="169"/>
      <c r="Y29" s="164"/>
      <c r="Z29" s="164"/>
      <c r="AA29" s="164"/>
      <c r="AB29" s="164"/>
      <c r="AC29" s="164"/>
      <c r="AD29" s="164"/>
      <c r="AE29" s="164">
        <f t="shared" si="5"/>
        <v>17.419999999999991</v>
      </c>
      <c r="AF29" s="164">
        <f t="shared" si="6"/>
        <v>17.399999999999991</v>
      </c>
      <c r="AG29" s="164">
        <f t="shared" si="7"/>
        <v>17.439999999999991</v>
      </c>
      <c r="AH29" s="164">
        <f ca="1">COUNTIF(SPC!$C$32:$BA$36,"&lt;="&amp;INDIRECT(AI29))</f>
        <v>0</v>
      </c>
      <c r="AI29" s="164" t="s">
        <v>209</v>
      </c>
      <c r="AJ29" s="164">
        <f t="shared" ca="1" si="8"/>
        <v>0</v>
      </c>
      <c r="AK29" s="164"/>
      <c r="AL29" s="164"/>
      <c r="AM29" s="88"/>
      <c r="AN29" s="88"/>
      <c r="AO29" s="88"/>
      <c r="AP29" s="88"/>
      <c r="AQ29" s="88"/>
      <c r="AR29" s="26"/>
      <c r="AS29" s="26"/>
      <c r="AT29" s="26"/>
      <c r="BU29" s="88"/>
      <c r="BV29" s="143"/>
      <c r="BW29" s="12"/>
    </row>
    <row r="30" spans="1:75" x14ac:dyDescent="0.25">
      <c r="A30" s="140">
        <f t="shared" si="1"/>
        <v>29</v>
      </c>
      <c r="B30" s="7">
        <f>SPC!AF$37</f>
        <v>17.232445480875615</v>
      </c>
      <c r="C30" s="3">
        <f t="shared" si="2"/>
        <v>0.65351435382403833</v>
      </c>
      <c r="D30" s="4">
        <f t="shared" si="3"/>
        <v>0.54</v>
      </c>
      <c r="E30" s="3">
        <f t="shared" si="0"/>
        <v>0.74328763059357206</v>
      </c>
      <c r="F30" s="3">
        <f t="shared" si="4"/>
        <v>74.3287630593572</v>
      </c>
      <c r="G30" s="142"/>
      <c r="H30" s="142"/>
      <c r="I30" s="142"/>
      <c r="J30" s="142"/>
      <c r="K30" s="142"/>
      <c r="L30" s="5"/>
      <c r="M30" s="149"/>
      <c r="P30" s="106"/>
      <c r="Q30" s="144"/>
      <c r="R30" s="88"/>
      <c r="S30" s="164"/>
      <c r="T30" s="164"/>
      <c r="U30" s="164"/>
      <c r="V30" s="169"/>
      <c r="W30" s="169"/>
      <c r="X30" s="169"/>
      <c r="Y30" s="164"/>
      <c r="Z30" s="164"/>
      <c r="AA30" s="164"/>
      <c r="AB30" s="164"/>
      <c r="AC30" s="164"/>
      <c r="AD30" s="164"/>
      <c r="AE30" s="164">
        <f t="shared" si="5"/>
        <v>17.45999999999999</v>
      </c>
      <c r="AF30" s="164">
        <f t="shared" si="6"/>
        <v>17.439999999999991</v>
      </c>
      <c r="AG30" s="164">
        <f t="shared" si="7"/>
        <v>17.47999999999999</v>
      </c>
      <c r="AH30" s="164">
        <f ca="1">COUNTIF(SPC!$C$32:$BA$36,"&lt;="&amp;INDIRECT(AI30))</f>
        <v>0</v>
      </c>
      <c r="AI30" s="164" t="s">
        <v>210</v>
      </c>
      <c r="AJ30" s="164">
        <f t="shared" ca="1" si="8"/>
        <v>0</v>
      </c>
      <c r="AK30" s="164"/>
      <c r="AL30" s="164"/>
      <c r="AM30" s="88"/>
      <c r="AN30" s="88"/>
      <c r="AO30" s="88"/>
      <c r="AP30" s="88"/>
      <c r="AQ30" s="88"/>
      <c r="AR30" s="26"/>
      <c r="AS30" s="26"/>
      <c r="AT30" s="26"/>
      <c r="BU30" s="88"/>
      <c r="BV30" s="143"/>
      <c r="BW30" s="12"/>
    </row>
    <row r="31" spans="1:75" x14ac:dyDescent="0.25">
      <c r="A31" s="140">
        <f t="shared" si="1"/>
        <v>30</v>
      </c>
      <c r="B31" s="7">
        <f>SPC!AG$37</f>
        <v>17.222663910821439</v>
      </c>
      <c r="C31" s="3">
        <f t="shared" si="2"/>
        <v>-1.0361640284813074</v>
      </c>
      <c r="D31" s="4">
        <f t="shared" si="3"/>
        <v>0.04</v>
      </c>
      <c r="E31" s="3">
        <f t="shared" si="0"/>
        <v>0.15006281265045684</v>
      </c>
      <c r="F31" s="3">
        <f t="shared" si="4"/>
        <v>15.006281265045684</v>
      </c>
      <c r="G31" s="142"/>
      <c r="H31" s="142"/>
      <c r="I31" s="142"/>
      <c r="J31" s="142"/>
      <c r="K31" s="142"/>
      <c r="L31" s="5"/>
      <c r="M31" s="149"/>
      <c r="P31" s="106"/>
      <c r="Q31" s="144"/>
      <c r="R31" s="88"/>
      <c r="S31" s="169"/>
      <c r="T31" s="164"/>
      <c r="U31" s="164"/>
      <c r="V31" s="169"/>
      <c r="W31" s="169"/>
      <c r="X31" s="169"/>
      <c r="Y31" s="164"/>
      <c r="Z31" s="164"/>
      <c r="AA31" s="164"/>
      <c r="AB31" s="164"/>
      <c r="AC31" s="164"/>
      <c r="AD31" s="164"/>
      <c r="AE31" s="164">
        <f t="shared" si="5"/>
        <v>17.499999999999989</v>
      </c>
      <c r="AF31" s="164">
        <f t="shared" si="6"/>
        <v>17.47999999999999</v>
      </c>
      <c r="AG31" s="164">
        <f t="shared" si="7"/>
        <v>17.519999999999989</v>
      </c>
      <c r="AH31" s="164">
        <f ca="1">COUNTIF(SPC!$C$32:$BA$36,"&lt;="&amp;INDIRECT(AI31))</f>
        <v>0</v>
      </c>
      <c r="AI31" s="164" t="s">
        <v>211</v>
      </c>
      <c r="AJ31" s="164">
        <f t="shared" ca="1" si="8"/>
        <v>0</v>
      </c>
      <c r="AK31" s="164"/>
      <c r="AL31" s="164"/>
      <c r="AM31" s="88"/>
      <c r="AN31" s="88"/>
      <c r="AO31" s="88"/>
      <c r="AP31" s="88"/>
      <c r="AQ31" s="88"/>
      <c r="AR31" s="26"/>
      <c r="AS31" s="26"/>
      <c r="AT31" s="26"/>
      <c r="BU31" s="88"/>
      <c r="BV31" s="143"/>
      <c r="BW31" s="12"/>
    </row>
    <row r="32" spans="1:75" x14ac:dyDescent="0.25">
      <c r="A32" s="140">
        <f t="shared" si="1"/>
        <v>31</v>
      </c>
      <c r="B32" s="7">
        <f>SPC!AH$37</f>
        <v>17.236359515325198</v>
      </c>
      <c r="C32" s="3">
        <f t="shared" si="2"/>
        <v>1.3296286545373965</v>
      </c>
      <c r="D32" s="4">
        <f t="shared" si="3"/>
        <v>0.78</v>
      </c>
      <c r="E32" s="3">
        <f t="shared" si="0"/>
        <v>0.90817967389589449</v>
      </c>
      <c r="F32" s="3">
        <f t="shared" si="4"/>
        <v>90.817967389589455</v>
      </c>
      <c r="G32" s="142"/>
      <c r="H32" s="142"/>
      <c r="I32" s="142"/>
      <c r="J32" s="142"/>
      <c r="K32" s="142"/>
      <c r="L32" s="5"/>
      <c r="M32" s="149"/>
      <c r="P32" s="106"/>
      <c r="Q32" s="144"/>
      <c r="R32" s="88"/>
      <c r="S32" s="164"/>
      <c r="T32" s="164"/>
      <c r="U32" s="164"/>
      <c r="V32" s="164"/>
      <c r="W32" s="164"/>
      <c r="X32" s="164"/>
      <c r="Y32" s="164"/>
      <c r="Z32" s="164"/>
      <c r="AA32" s="164"/>
      <c r="AB32" s="164"/>
      <c r="AC32" s="164"/>
      <c r="AD32" s="164"/>
      <c r="AE32" s="164"/>
      <c r="AF32" s="164"/>
      <c r="AG32" s="164"/>
      <c r="AH32" s="164"/>
      <c r="AI32" s="164"/>
      <c r="AJ32" s="164">
        <f ca="1">SUM(AJ21:AJ30)</f>
        <v>0</v>
      </c>
      <c r="AK32" s="164"/>
      <c r="AL32" s="164"/>
      <c r="AM32" s="88"/>
      <c r="AN32" s="88"/>
      <c r="AO32" s="88"/>
      <c r="AP32" s="88"/>
      <c r="AQ32" s="88"/>
      <c r="AR32" s="19"/>
      <c r="AS32" s="20"/>
      <c r="AT32" s="20"/>
      <c r="BU32" s="88"/>
      <c r="BV32" s="143"/>
      <c r="BW32" s="12"/>
    </row>
    <row r="33" spans="1:98" x14ac:dyDescent="0.25">
      <c r="A33" s="140">
        <f t="shared" si="1"/>
        <v>32</v>
      </c>
      <c r="B33" s="7">
        <f>SPC!AI$37</f>
        <v>17.223772299417032</v>
      </c>
      <c r="C33" s="3">
        <f t="shared" si="2"/>
        <v>-0.84469985260820879</v>
      </c>
      <c r="D33" s="4">
        <f t="shared" si="3"/>
        <v>0.28000000000000003</v>
      </c>
      <c r="E33" s="3">
        <f t="shared" si="0"/>
        <v>0.19913922089758435</v>
      </c>
      <c r="F33" s="3">
        <f t="shared" si="4"/>
        <v>19.913922089758433</v>
      </c>
      <c r="G33" s="142"/>
      <c r="H33" s="142"/>
      <c r="I33" s="142"/>
      <c r="J33" s="142"/>
      <c r="K33" s="142"/>
      <c r="L33" s="5"/>
      <c r="M33" s="149"/>
      <c r="P33" s="106"/>
      <c r="Q33" s="144"/>
      <c r="R33" s="88"/>
      <c r="S33" s="164"/>
      <c r="T33" s="164" t="s">
        <v>51</v>
      </c>
      <c r="U33" s="198">
        <f>IF(SPC!P5="","",AVERAGE(SPC!C37:AA37,SPC!AC37:BA37))</f>
        <v>17.228586613750199</v>
      </c>
      <c r="V33" s="164"/>
      <c r="W33" s="164" t="s">
        <v>52</v>
      </c>
      <c r="X33" s="169">
        <f>IF(SPC!$P$5="","",IF(Formule!$K$1=2,$U$33+$AA$15*$U$35,IF(Formule!$K$1=3,$U$33+$AE$15*$U$35,$U$33+$W$15*$U$35)))</f>
        <v>17.247152839795543</v>
      </c>
      <c r="Y33" s="164"/>
      <c r="Z33" s="164"/>
      <c r="AA33" s="170"/>
      <c r="AB33" s="171" t="s">
        <v>53</v>
      </c>
      <c r="AC33" s="172">
        <f>MIN(SPC!$C$32:$BA$36)</f>
        <v>17.207724875927173</v>
      </c>
      <c r="AD33" s="164"/>
      <c r="AE33" s="164" t="s">
        <v>54</v>
      </c>
      <c r="AF33" s="164" t="s">
        <v>55</v>
      </c>
      <c r="AG33" s="164" t="s">
        <v>56</v>
      </c>
      <c r="AH33" s="164" t="s">
        <v>57</v>
      </c>
      <c r="AI33" s="164" t="s">
        <v>53</v>
      </c>
      <c r="AJ33" s="164">
        <f>IF(SPC!$K$9=0,0,AG34)</f>
        <v>17.119999999999997</v>
      </c>
      <c r="AK33" s="164"/>
      <c r="AL33" s="164"/>
      <c r="AM33" s="88"/>
      <c r="AN33" s="88"/>
      <c r="AO33" s="88"/>
      <c r="AP33" s="88"/>
      <c r="AQ33" s="88"/>
      <c r="AR33" s="56"/>
      <c r="AS33" s="57"/>
      <c r="AT33" s="57"/>
      <c r="BU33" s="88"/>
      <c r="BV33" s="143"/>
      <c r="BW33" s="12"/>
    </row>
    <row r="34" spans="1:98" x14ac:dyDescent="0.25">
      <c r="A34" s="140">
        <f t="shared" si="1"/>
        <v>33</v>
      </c>
      <c r="B34" s="7">
        <f>SPC!AJ$37</f>
        <v>17.232445480875615</v>
      </c>
      <c r="C34" s="3">
        <f t="shared" si="2"/>
        <v>0.65351435382403833</v>
      </c>
      <c r="D34" s="4">
        <f t="shared" si="3"/>
        <v>0.54</v>
      </c>
      <c r="E34" s="3">
        <f t="shared" si="0"/>
        <v>0.74328763059357206</v>
      </c>
      <c r="F34" s="3">
        <f t="shared" si="4"/>
        <v>74.3287630593572</v>
      </c>
      <c r="G34" s="142"/>
      <c r="H34" s="142"/>
      <c r="I34" s="142"/>
      <c r="J34" s="142"/>
      <c r="K34" s="142"/>
      <c r="L34" s="5"/>
      <c r="M34" s="149"/>
      <c r="P34" s="132"/>
      <c r="Q34" s="173"/>
      <c r="R34" s="88"/>
      <c r="S34" s="164"/>
      <c r="T34" s="164"/>
      <c r="U34" s="198"/>
      <c r="V34" s="164"/>
      <c r="W34" s="164" t="s">
        <v>58</v>
      </c>
      <c r="X34" s="169">
        <f>IF(SPC!$P$5="","",IF(Formule!$K$1=2,$U$33-$AA$15*$U$35,IF(Formule!$K$1=3,$U$33-$AE$15*$U$35,$U$33-$W$15*$U$35)))</f>
        <v>17.210020387704855</v>
      </c>
      <c r="Y34" s="164"/>
      <c r="Z34" s="164"/>
      <c r="AA34" s="170"/>
      <c r="AB34" s="171" t="s">
        <v>59</v>
      </c>
      <c r="AC34" s="172">
        <f>MAX(SPC!$C$32:$BA$36)</f>
        <v>17.250646766482777</v>
      </c>
      <c r="AD34" s="164"/>
      <c r="AE34" s="164">
        <f>IF(SPC!K9=3,AC33*0.98,SPC!L2)</f>
        <v>17.2</v>
      </c>
      <c r="AF34" s="164">
        <f>IF(SPC!K9=2,AC34*1.02,SPC!Q2)</f>
        <v>17.400000000000002</v>
      </c>
      <c r="AG34" s="164">
        <f>AE34-(2*(AF34-AE34)/5)</f>
        <v>17.119999999999997</v>
      </c>
      <c r="AH34" s="164">
        <f>AF34+(2*(AF34-AE34)/5)</f>
        <v>17.480000000000004</v>
      </c>
      <c r="AI34" s="164" t="s">
        <v>59</v>
      </c>
      <c r="AJ34" s="164">
        <f>IF(SPC!$K$9=0,0,AH34)</f>
        <v>17.480000000000004</v>
      </c>
      <c r="AK34" s="164"/>
      <c r="AL34" s="164"/>
      <c r="AM34" s="88"/>
      <c r="AN34" s="88"/>
      <c r="AO34" s="88"/>
      <c r="AP34" s="88"/>
      <c r="AQ34" s="88"/>
      <c r="AR34" s="56"/>
      <c r="AS34" s="56"/>
      <c r="AT34" s="56"/>
      <c r="BU34" s="88"/>
      <c r="BV34" s="143"/>
      <c r="BW34" s="12"/>
    </row>
    <row r="35" spans="1:98" x14ac:dyDescent="0.25">
      <c r="A35" s="140">
        <f t="shared" si="1"/>
        <v>34</v>
      </c>
      <c r="B35" s="7">
        <f>SPC!AK$37</f>
        <v>17.222663910821439</v>
      </c>
      <c r="C35" s="3">
        <f t="shared" si="2"/>
        <v>-1.0361640284813074</v>
      </c>
      <c r="D35" s="4">
        <f t="shared" si="3"/>
        <v>0.04</v>
      </c>
      <c r="E35" s="3">
        <f t="shared" si="0"/>
        <v>0.15006281265045684</v>
      </c>
      <c r="F35" s="3">
        <f t="shared" si="4"/>
        <v>15.006281265045684</v>
      </c>
      <c r="G35" s="142"/>
      <c r="H35" s="142"/>
      <c r="I35" s="142"/>
      <c r="J35" s="142"/>
      <c r="K35" s="142"/>
      <c r="L35" s="5"/>
      <c r="M35" s="149"/>
      <c r="P35" s="117"/>
      <c r="Q35" s="174"/>
      <c r="R35" s="88"/>
      <c r="S35" s="164" t="s">
        <v>126</v>
      </c>
      <c r="T35" s="164" t="s">
        <v>60</v>
      </c>
      <c r="U35" s="198">
        <f>IF(SPC!P5="","",AVERAGE(SPC!C38:AA38,SPC!AC38:BA38))</f>
        <v>3.2177168189505639E-2</v>
      </c>
      <c r="V35" s="164"/>
      <c r="W35" s="164" t="s">
        <v>61</v>
      </c>
      <c r="X35" s="169">
        <f>IF(SPC!$P$5="","",IF(Formule!$K$1=2,$AC$15*$U$35,IF(Formule!$K$1=3,$AG$15*$U$35,$Y$15*$U$35)))</f>
        <v>6.8022533552614922E-2</v>
      </c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 t="s">
        <v>62</v>
      </c>
      <c r="AJ35" s="164">
        <f>AJ34-AJ33</f>
        <v>0.36000000000000654</v>
      </c>
      <c r="AK35" s="164"/>
      <c r="AL35" s="164"/>
      <c r="AM35" s="88"/>
      <c r="AN35" s="88"/>
      <c r="AO35" s="88"/>
      <c r="AP35" s="88"/>
      <c r="AQ35" s="88"/>
      <c r="AR35" s="56"/>
      <c r="AS35" s="57"/>
      <c r="AT35" s="57"/>
      <c r="BU35" s="88"/>
      <c r="BV35" s="143"/>
      <c r="BW35" s="12"/>
    </row>
    <row r="36" spans="1:98" x14ac:dyDescent="0.25">
      <c r="A36" s="140">
        <f t="shared" si="1"/>
        <v>35</v>
      </c>
      <c r="B36" s="7">
        <f>SPC!AL$37</f>
        <v>17.236359515325198</v>
      </c>
      <c r="C36" s="3">
        <f t="shared" si="2"/>
        <v>1.3296286545373965</v>
      </c>
      <c r="D36" s="4">
        <f t="shared" si="3"/>
        <v>0.78</v>
      </c>
      <c r="E36" s="3">
        <f t="shared" si="0"/>
        <v>0.90817967389589449</v>
      </c>
      <c r="F36" s="3">
        <f t="shared" si="4"/>
        <v>90.817967389589455</v>
      </c>
      <c r="G36" s="142"/>
      <c r="H36" s="142"/>
      <c r="I36" s="142"/>
      <c r="J36" s="142"/>
      <c r="K36" s="142"/>
      <c r="L36" s="5"/>
      <c r="M36" s="149"/>
      <c r="P36" s="118"/>
      <c r="Q36" s="175"/>
      <c r="R36" s="88"/>
      <c r="S36" s="164" t="s">
        <v>127</v>
      </c>
      <c r="T36" s="164" t="s">
        <v>63</v>
      </c>
      <c r="U36" s="198"/>
      <c r="V36" s="164"/>
      <c r="W36" s="164" t="s">
        <v>64</v>
      </c>
      <c r="X36" s="164">
        <f>IF(SPC!$P$5="","",IF(Formule!$K$1=2,$AB$15*$U$35,IF(Formule!$K$1=3,$AF$15*$U$35,$X$15*$U$35)))</f>
        <v>0</v>
      </c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 t="s">
        <v>65</v>
      </c>
      <c r="AJ36" s="164">
        <f>AJ35/9</f>
        <v>4.0000000000000729E-2</v>
      </c>
      <c r="AK36" s="164"/>
      <c r="AL36" s="164"/>
      <c r="AM36" s="88"/>
      <c r="AN36" s="88"/>
      <c r="AO36" s="88"/>
      <c r="AP36" s="88"/>
      <c r="AQ36" s="88"/>
      <c r="AR36" s="19"/>
      <c r="AS36" s="20"/>
      <c r="AT36" s="20"/>
      <c r="BU36" s="88"/>
      <c r="BV36" s="143"/>
      <c r="BW36" s="12"/>
    </row>
    <row r="37" spans="1:98" x14ac:dyDescent="0.25">
      <c r="A37" s="140">
        <f t="shared" si="1"/>
        <v>36</v>
      </c>
      <c r="B37" s="7">
        <f>SPC!AM$37</f>
        <v>17.223772299417032</v>
      </c>
      <c r="C37" s="3">
        <f t="shared" si="2"/>
        <v>-0.84469985260820879</v>
      </c>
      <c r="D37" s="4">
        <f t="shared" si="3"/>
        <v>0.28000000000000003</v>
      </c>
      <c r="E37" s="3">
        <f t="shared" si="0"/>
        <v>0.19913922089758435</v>
      </c>
      <c r="F37" s="3">
        <f t="shared" si="4"/>
        <v>19.913922089758433</v>
      </c>
      <c r="G37" s="142"/>
      <c r="H37" s="142"/>
      <c r="I37" s="142"/>
      <c r="J37" s="142"/>
      <c r="K37" s="142"/>
      <c r="L37" s="5"/>
      <c r="M37" s="149"/>
      <c r="P37" s="120"/>
      <c r="S37" s="1" t="s">
        <v>213</v>
      </c>
      <c r="T37" s="237">
        <f>SPC!Q2</f>
        <v>17.400000000000002</v>
      </c>
      <c r="U37" s="237">
        <f>SPC!Q2</f>
        <v>17.400000000000002</v>
      </c>
      <c r="V37" s="237">
        <f>SPC!Q2</f>
        <v>17.400000000000002</v>
      </c>
      <c r="W37" s="237">
        <f>SPC!Q2</f>
        <v>17.400000000000002</v>
      </c>
      <c r="X37" s="237">
        <f>SPC!Q2</f>
        <v>17.400000000000002</v>
      </c>
      <c r="Y37" s="237">
        <f>SPC!Q2</f>
        <v>17.400000000000002</v>
      </c>
      <c r="Z37" s="237">
        <f>SPC!Q2</f>
        <v>17.400000000000002</v>
      </c>
      <c r="AA37" s="237">
        <f>SPC!Q2</f>
        <v>17.400000000000002</v>
      </c>
      <c r="AB37" s="237">
        <f>SPC!Q2</f>
        <v>17.400000000000002</v>
      </c>
      <c r="AC37" s="237">
        <f>SPC!Q2</f>
        <v>17.400000000000002</v>
      </c>
      <c r="AD37" s="237">
        <f>SPC!Q2</f>
        <v>17.400000000000002</v>
      </c>
      <c r="AE37" s="237">
        <f>SPC!Q2</f>
        <v>17.400000000000002</v>
      </c>
      <c r="AF37" s="237">
        <f>SPC!Q2</f>
        <v>17.400000000000002</v>
      </c>
      <c r="AG37" s="237">
        <f>SPC!Q2</f>
        <v>17.400000000000002</v>
      </c>
      <c r="AH37" s="237">
        <f>SPC!Q2</f>
        <v>17.400000000000002</v>
      </c>
      <c r="AI37" s="237">
        <f>SPC!Q2</f>
        <v>17.400000000000002</v>
      </c>
      <c r="AJ37" s="237">
        <f>SPC!Q2</f>
        <v>17.400000000000002</v>
      </c>
      <c r="AK37" s="237">
        <f>SPC!Q2</f>
        <v>17.400000000000002</v>
      </c>
      <c r="AL37" s="237">
        <f>SPC!Q2</f>
        <v>17.400000000000002</v>
      </c>
      <c r="AM37" s="237">
        <f>SPC!Q2</f>
        <v>17.400000000000002</v>
      </c>
      <c r="AN37" s="237">
        <f>SPC!Q2</f>
        <v>17.400000000000002</v>
      </c>
      <c r="AO37" s="237">
        <f>SPC!Q2</f>
        <v>17.400000000000002</v>
      </c>
      <c r="AP37" s="237">
        <f>SPC!Q2</f>
        <v>17.400000000000002</v>
      </c>
      <c r="AQ37" s="237">
        <f>SPC!Q2</f>
        <v>17.400000000000002</v>
      </c>
      <c r="AR37" s="237">
        <f>SPC!Q2</f>
        <v>17.400000000000002</v>
      </c>
      <c r="AS37" s="237">
        <f>SPC!Q2</f>
        <v>17.400000000000002</v>
      </c>
      <c r="AT37" s="237">
        <f>SPC!Q2</f>
        <v>17.400000000000002</v>
      </c>
      <c r="AU37" s="237">
        <f>SPC!Q2</f>
        <v>17.400000000000002</v>
      </c>
      <c r="AV37" s="237">
        <f>SPC!Q2</f>
        <v>17.400000000000002</v>
      </c>
      <c r="AW37" s="237">
        <f>SPC!Q2</f>
        <v>17.400000000000002</v>
      </c>
      <c r="AX37" s="237">
        <f>SPC!Q2</f>
        <v>17.400000000000002</v>
      </c>
      <c r="AY37" s="237">
        <f>SPC!Q2</f>
        <v>17.400000000000002</v>
      </c>
      <c r="AZ37" s="237">
        <f>SPC!Q2</f>
        <v>17.400000000000002</v>
      </c>
      <c r="BA37" s="237">
        <f>SPC!Q2</f>
        <v>17.400000000000002</v>
      </c>
      <c r="BB37" s="237">
        <f>SPC!Q2</f>
        <v>17.400000000000002</v>
      </c>
      <c r="BC37" s="237">
        <f>SPC!Q2</f>
        <v>17.400000000000002</v>
      </c>
      <c r="BD37" s="237">
        <f>SPC!Q2</f>
        <v>17.400000000000002</v>
      </c>
      <c r="BE37" s="237">
        <f>SPC!Q2</f>
        <v>17.400000000000002</v>
      </c>
      <c r="BF37" s="237">
        <f>SPC!Q2</f>
        <v>17.400000000000002</v>
      </c>
      <c r="BG37" s="237">
        <f>SPC!Q2</f>
        <v>17.400000000000002</v>
      </c>
      <c r="BH37" s="237">
        <f>SPC!Q2</f>
        <v>17.400000000000002</v>
      </c>
      <c r="BI37" s="237">
        <f>SPC!Q2</f>
        <v>17.400000000000002</v>
      </c>
      <c r="BJ37" s="237">
        <f>SPC!Q2</f>
        <v>17.400000000000002</v>
      </c>
      <c r="BK37" s="237">
        <f>SPC!Q2</f>
        <v>17.400000000000002</v>
      </c>
      <c r="BL37" s="237">
        <f>SPC!Q2</f>
        <v>17.400000000000002</v>
      </c>
      <c r="BM37" s="237">
        <f>SPC!Q2</f>
        <v>17.400000000000002</v>
      </c>
      <c r="BN37" s="237">
        <f>SPC!Q2</f>
        <v>17.400000000000002</v>
      </c>
      <c r="BO37" s="237">
        <f>SPC!Q2</f>
        <v>17.400000000000002</v>
      </c>
      <c r="BP37" s="237">
        <f>SPC!Q2</f>
        <v>17.400000000000002</v>
      </c>
      <c r="BQ37" s="237">
        <f>SPC!Q2</f>
        <v>17.400000000000002</v>
      </c>
      <c r="BR37" s="237">
        <f>SPC!Q2</f>
        <v>17.400000000000002</v>
      </c>
      <c r="BS37" s="237">
        <f>SPC!Q2</f>
        <v>17.400000000000002</v>
      </c>
      <c r="BT37" s="237">
        <f>SPC!Q2</f>
        <v>17.400000000000002</v>
      </c>
      <c r="BU37" s="237">
        <f>SPC!Q2</f>
        <v>17.400000000000002</v>
      </c>
      <c r="BV37" s="237">
        <f>SPC!Q2</f>
        <v>17.400000000000002</v>
      </c>
      <c r="BW37" s="237">
        <f>SPC!Q2</f>
        <v>17.400000000000002</v>
      </c>
      <c r="BX37" s="237">
        <f>SPC!Q2</f>
        <v>17.400000000000002</v>
      </c>
      <c r="BY37" s="237">
        <f>SPC!Q2</f>
        <v>17.400000000000002</v>
      </c>
      <c r="BZ37" s="237">
        <f>SPC!Q2</f>
        <v>17.400000000000002</v>
      </c>
      <c r="CA37" s="237">
        <f>SPC!Q2</f>
        <v>17.400000000000002</v>
      </c>
      <c r="CB37" s="237">
        <f>SPC!Q2</f>
        <v>17.400000000000002</v>
      </c>
      <c r="CC37" s="237">
        <f>SPC!Q2</f>
        <v>17.400000000000002</v>
      </c>
      <c r="CD37" s="237">
        <f>SPC!Q2</f>
        <v>17.400000000000002</v>
      </c>
      <c r="CE37" s="237">
        <f>SPC!Q2</f>
        <v>17.400000000000002</v>
      </c>
      <c r="CF37" s="237">
        <f>SPC!Q2</f>
        <v>17.400000000000002</v>
      </c>
      <c r="CG37" s="237">
        <f>SPC!Q2</f>
        <v>17.400000000000002</v>
      </c>
      <c r="CH37" s="237">
        <f>SPC!Q2</f>
        <v>17.400000000000002</v>
      </c>
      <c r="CI37" s="237">
        <f>SPC!Q2</f>
        <v>17.400000000000002</v>
      </c>
      <c r="CJ37" s="237">
        <f>SPC!Q2</f>
        <v>17.400000000000002</v>
      </c>
      <c r="CK37" s="237">
        <f>SPC!Q2</f>
        <v>17.400000000000002</v>
      </c>
      <c r="CL37" s="237">
        <f>SPC!Q2</f>
        <v>17.400000000000002</v>
      </c>
      <c r="CM37" s="237">
        <f>SPC!Q2</f>
        <v>17.400000000000002</v>
      </c>
      <c r="CN37" s="237">
        <f>SPC!Q2</f>
        <v>17.400000000000002</v>
      </c>
      <c r="CO37" s="237">
        <f>SPC!Q2</f>
        <v>17.400000000000002</v>
      </c>
      <c r="CP37" s="237">
        <f>SPC!Q2</f>
        <v>17.400000000000002</v>
      </c>
      <c r="CQ37" s="237">
        <f>SPC!Q2</f>
        <v>17.400000000000002</v>
      </c>
      <c r="CR37" s="237">
        <f>SPC!Q2</f>
        <v>17.400000000000002</v>
      </c>
      <c r="CS37" s="237">
        <f>SPC!Q2</f>
        <v>17.400000000000002</v>
      </c>
      <c r="CT37" s="237">
        <f>SPC!Q2</f>
        <v>17.400000000000002</v>
      </c>
    </row>
    <row r="38" spans="1:98" x14ac:dyDescent="0.25">
      <c r="A38" s="140">
        <f t="shared" si="1"/>
        <v>37</v>
      </c>
      <c r="B38" s="7">
        <f>SPC!AN$37</f>
        <v>17.232445480875615</v>
      </c>
      <c r="C38" s="3">
        <f t="shared" si="2"/>
        <v>0.65351435382403833</v>
      </c>
      <c r="D38" s="4">
        <f t="shared" si="3"/>
        <v>0.54</v>
      </c>
      <c r="E38" s="3">
        <f t="shared" si="0"/>
        <v>0.74328763059357206</v>
      </c>
      <c r="F38" s="3">
        <f t="shared" si="4"/>
        <v>74.3287630593572</v>
      </c>
      <c r="G38" s="142"/>
      <c r="H38" s="142"/>
      <c r="I38" s="142"/>
      <c r="J38" s="142"/>
      <c r="K38" s="142"/>
      <c r="L38" s="5"/>
      <c r="M38" s="149"/>
      <c r="P38" s="120"/>
      <c r="S38" s="1" t="s">
        <v>214</v>
      </c>
      <c r="T38" s="237">
        <f>SPC!$L$2</f>
        <v>17.2</v>
      </c>
      <c r="U38" s="237">
        <f>SPC!$L$2</f>
        <v>17.2</v>
      </c>
      <c r="V38" s="237">
        <f>SPC!$L$2</f>
        <v>17.2</v>
      </c>
      <c r="W38" s="237">
        <f>SPC!$L$2</f>
        <v>17.2</v>
      </c>
      <c r="X38" s="237">
        <f>SPC!$L$2</f>
        <v>17.2</v>
      </c>
      <c r="Y38" s="237">
        <f>SPC!$L$2</f>
        <v>17.2</v>
      </c>
      <c r="Z38" s="237">
        <f>SPC!$L$2</f>
        <v>17.2</v>
      </c>
      <c r="AA38" s="237">
        <f>SPC!$L$2</f>
        <v>17.2</v>
      </c>
      <c r="AB38" s="237">
        <f>SPC!$L$2</f>
        <v>17.2</v>
      </c>
      <c r="AC38" s="237">
        <f>SPC!$L$2</f>
        <v>17.2</v>
      </c>
      <c r="AD38" s="237">
        <f>SPC!$L$2</f>
        <v>17.2</v>
      </c>
      <c r="AE38" s="237">
        <f>SPC!$L$2</f>
        <v>17.2</v>
      </c>
      <c r="AF38" s="237">
        <f>SPC!$L$2</f>
        <v>17.2</v>
      </c>
      <c r="AG38" s="237">
        <f>SPC!$L$2</f>
        <v>17.2</v>
      </c>
      <c r="AH38" s="237">
        <f>SPC!$L$2</f>
        <v>17.2</v>
      </c>
      <c r="AI38" s="237">
        <f>SPC!$L$2</f>
        <v>17.2</v>
      </c>
      <c r="AJ38" s="237">
        <f>SPC!$L$2</f>
        <v>17.2</v>
      </c>
      <c r="AK38" s="237">
        <f>SPC!$L$2</f>
        <v>17.2</v>
      </c>
      <c r="AL38" s="237">
        <f>SPC!$L$2</f>
        <v>17.2</v>
      </c>
      <c r="AM38" s="237">
        <f>SPC!$L$2</f>
        <v>17.2</v>
      </c>
      <c r="AN38" s="237">
        <f>SPC!$L$2</f>
        <v>17.2</v>
      </c>
      <c r="AO38" s="237">
        <f>SPC!$L$2</f>
        <v>17.2</v>
      </c>
      <c r="AP38" s="237">
        <f>SPC!$L$2</f>
        <v>17.2</v>
      </c>
      <c r="AQ38" s="237">
        <f>SPC!$L$2</f>
        <v>17.2</v>
      </c>
      <c r="AR38" s="237">
        <f>SPC!$L$2</f>
        <v>17.2</v>
      </c>
      <c r="AS38" s="237">
        <f>SPC!$L$2</f>
        <v>17.2</v>
      </c>
      <c r="AT38" s="237">
        <f>SPC!$L$2</f>
        <v>17.2</v>
      </c>
      <c r="AU38" s="237">
        <f>SPC!$L$2</f>
        <v>17.2</v>
      </c>
      <c r="AV38" s="237">
        <f>SPC!$L$2</f>
        <v>17.2</v>
      </c>
      <c r="AW38" s="237">
        <f>SPC!$L$2</f>
        <v>17.2</v>
      </c>
      <c r="AX38" s="237">
        <f>SPC!$L$2</f>
        <v>17.2</v>
      </c>
      <c r="AY38" s="237">
        <f>SPC!$L$2</f>
        <v>17.2</v>
      </c>
      <c r="AZ38" s="237">
        <f>SPC!$L$2</f>
        <v>17.2</v>
      </c>
      <c r="BA38" s="237">
        <f>SPC!$L$2</f>
        <v>17.2</v>
      </c>
      <c r="BB38" s="237">
        <f>SPC!$L$2</f>
        <v>17.2</v>
      </c>
      <c r="BC38" s="237">
        <f>SPC!$L$2</f>
        <v>17.2</v>
      </c>
      <c r="BD38" s="237">
        <f>SPC!$L$2</f>
        <v>17.2</v>
      </c>
      <c r="BE38" s="237">
        <f>SPC!$L$2</f>
        <v>17.2</v>
      </c>
      <c r="BF38" s="237">
        <f>SPC!$L$2</f>
        <v>17.2</v>
      </c>
      <c r="BG38" s="237">
        <f>SPC!$L$2</f>
        <v>17.2</v>
      </c>
      <c r="BH38" s="237">
        <f>SPC!$L$2</f>
        <v>17.2</v>
      </c>
      <c r="BI38" s="237">
        <f>SPC!$L$2</f>
        <v>17.2</v>
      </c>
      <c r="BJ38" s="237">
        <f>SPC!$L$2</f>
        <v>17.2</v>
      </c>
      <c r="BK38" s="237">
        <f>SPC!$L$2</f>
        <v>17.2</v>
      </c>
      <c r="BL38" s="237">
        <f>SPC!$L$2</f>
        <v>17.2</v>
      </c>
      <c r="BM38" s="237">
        <f>SPC!$L$2</f>
        <v>17.2</v>
      </c>
      <c r="BN38" s="237">
        <f>SPC!$L$2</f>
        <v>17.2</v>
      </c>
      <c r="BO38" s="237">
        <f>SPC!$L$2</f>
        <v>17.2</v>
      </c>
      <c r="BP38" s="237">
        <f>SPC!$L$2</f>
        <v>17.2</v>
      </c>
      <c r="BQ38" s="237">
        <f>SPC!$L$2</f>
        <v>17.2</v>
      </c>
      <c r="BR38" s="237">
        <f>SPC!$L$2</f>
        <v>17.2</v>
      </c>
      <c r="BS38" s="237">
        <f>SPC!$L$2</f>
        <v>17.2</v>
      </c>
      <c r="BT38" s="237">
        <f>SPC!$L$2</f>
        <v>17.2</v>
      </c>
      <c r="BU38" s="237">
        <f>SPC!$L$2</f>
        <v>17.2</v>
      </c>
      <c r="BV38" s="237">
        <f>SPC!$L$2</f>
        <v>17.2</v>
      </c>
      <c r="BW38" s="237">
        <f>SPC!$L$2</f>
        <v>17.2</v>
      </c>
      <c r="BX38" s="237">
        <f>SPC!$L$2</f>
        <v>17.2</v>
      </c>
      <c r="BY38" s="237">
        <f>SPC!$L$2</f>
        <v>17.2</v>
      </c>
      <c r="BZ38" s="237">
        <f>SPC!$L$2</f>
        <v>17.2</v>
      </c>
      <c r="CA38" s="237">
        <f>SPC!$L$2</f>
        <v>17.2</v>
      </c>
      <c r="CB38" s="237">
        <f>SPC!$L$2</f>
        <v>17.2</v>
      </c>
      <c r="CC38" s="237">
        <f>SPC!$L$2</f>
        <v>17.2</v>
      </c>
      <c r="CD38" s="237">
        <f>SPC!$L$2</f>
        <v>17.2</v>
      </c>
      <c r="CE38" s="237">
        <f>SPC!$L$2</f>
        <v>17.2</v>
      </c>
      <c r="CF38" s="237">
        <f>SPC!$L$2</f>
        <v>17.2</v>
      </c>
      <c r="CG38" s="237">
        <f>SPC!$L$2</f>
        <v>17.2</v>
      </c>
      <c r="CH38" s="237">
        <f>SPC!$L$2</f>
        <v>17.2</v>
      </c>
      <c r="CI38" s="237">
        <f>SPC!$L$2</f>
        <v>17.2</v>
      </c>
      <c r="CJ38" s="237">
        <f>SPC!$L$2</f>
        <v>17.2</v>
      </c>
      <c r="CK38" s="237">
        <f>SPC!$L$2</f>
        <v>17.2</v>
      </c>
      <c r="CL38" s="237">
        <f>SPC!$L$2</f>
        <v>17.2</v>
      </c>
      <c r="CM38" s="237">
        <f>SPC!$L$2</f>
        <v>17.2</v>
      </c>
      <c r="CN38" s="237">
        <f>SPC!$L$2</f>
        <v>17.2</v>
      </c>
      <c r="CO38" s="237">
        <f>SPC!$L$2</f>
        <v>17.2</v>
      </c>
      <c r="CP38" s="237">
        <f>SPC!$L$2</f>
        <v>17.2</v>
      </c>
      <c r="CQ38" s="237">
        <f>SPC!$L$2</f>
        <v>17.2</v>
      </c>
      <c r="CR38" s="237">
        <f>SPC!$L$2</f>
        <v>17.2</v>
      </c>
      <c r="CS38" s="237">
        <f>SPC!$L$2</f>
        <v>17.2</v>
      </c>
      <c r="CT38" s="237">
        <f>SPC!$L$2</f>
        <v>17.2</v>
      </c>
    </row>
    <row r="39" spans="1:98" ht="13.8" thickBot="1" x14ac:dyDescent="0.3">
      <c r="A39" s="140">
        <f t="shared" si="1"/>
        <v>38</v>
      </c>
      <c r="B39" s="7">
        <f>SPC!AO$37</f>
        <v>17.222663910821439</v>
      </c>
      <c r="C39" s="3">
        <f t="shared" si="2"/>
        <v>-1.0361640284813074</v>
      </c>
      <c r="D39" s="4">
        <f t="shared" si="3"/>
        <v>0.04</v>
      </c>
      <c r="E39" s="3">
        <f t="shared" si="0"/>
        <v>0.15006281265045684</v>
      </c>
      <c r="F39" s="3">
        <f t="shared" si="4"/>
        <v>15.006281265045684</v>
      </c>
      <c r="G39" s="142"/>
      <c r="H39" s="142"/>
      <c r="I39" s="142"/>
      <c r="J39" s="142"/>
      <c r="K39" s="142"/>
      <c r="L39" s="5"/>
      <c r="M39" s="149"/>
      <c r="P39" s="120"/>
      <c r="S39" s="1" t="s">
        <v>215</v>
      </c>
      <c r="T39" s="237">
        <f>SPC!$N$2</f>
        <v>17.3</v>
      </c>
      <c r="U39" s="237">
        <f>SPC!$N$2</f>
        <v>17.3</v>
      </c>
      <c r="V39" s="237">
        <f>SPC!$N$2</f>
        <v>17.3</v>
      </c>
      <c r="W39" s="237">
        <f>SPC!$N$2</f>
        <v>17.3</v>
      </c>
      <c r="X39" s="237">
        <f>SPC!$N$2</f>
        <v>17.3</v>
      </c>
      <c r="Y39" s="237">
        <f>SPC!$N$2</f>
        <v>17.3</v>
      </c>
      <c r="Z39" s="237">
        <f>SPC!$N$2</f>
        <v>17.3</v>
      </c>
      <c r="AA39" s="237">
        <f>SPC!$N$2</f>
        <v>17.3</v>
      </c>
      <c r="AB39" s="237">
        <f>SPC!$N$2</f>
        <v>17.3</v>
      </c>
      <c r="AC39" s="237">
        <f>SPC!$N$2</f>
        <v>17.3</v>
      </c>
      <c r="AD39" s="237">
        <f>SPC!$N$2</f>
        <v>17.3</v>
      </c>
      <c r="AE39" s="237">
        <f>SPC!$N$2</f>
        <v>17.3</v>
      </c>
      <c r="AF39" s="237">
        <f>SPC!$N$2</f>
        <v>17.3</v>
      </c>
      <c r="AG39" s="237">
        <f>SPC!$N$2</f>
        <v>17.3</v>
      </c>
      <c r="AH39" s="237">
        <f>SPC!$N$2</f>
        <v>17.3</v>
      </c>
      <c r="AI39" s="237">
        <f>SPC!$N$2</f>
        <v>17.3</v>
      </c>
      <c r="AJ39" s="237">
        <f>SPC!$N$2</f>
        <v>17.3</v>
      </c>
      <c r="AK39" s="237">
        <f>SPC!$N$2</f>
        <v>17.3</v>
      </c>
      <c r="AL39" s="237">
        <f>SPC!$N$2</f>
        <v>17.3</v>
      </c>
      <c r="AM39" s="237">
        <f>SPC!$N$2</f>
        <v>17.3</v>
      </c>
      <c r="AN39" s="237">
        <f>SPC!$N$2</f>
        <v>17.3</v>
      </c>
      <c r="AO39" s="237">
        <f>SPC!$N$2</f>
        <v>17.3</v>
      </c>
      <c r="AP39" s="237">
        <f>SPC!$N$2</f>
        <v>17.3</v>
      </c>
      <c r="AQ39" s="237">
        <f>SPC!$N$2</f>
        <v>17.3</v>
      </c>
      <c r="AR39" s="237">
        <f>SPC!$N$2</f>
        <v>17.3</v>
      </c>
      <c r="AS39" s="237">
        <f>SPC!$N$2</f>
        <v>17.3</v>
      </c>
      <c r="AT39" s="237">
        <f>SPC!$N$2</f>
        <v>17.3</v>
      </c>
      <c r="AU39" s="237">
        <f>SPC!$N$2</f>
        <v>17.3</v>
      </c>
      <c r="AV39" s="237">
        <f>SPC!$N$2</f>
        <v>17.3</v>
      </c>
      <c r="AW39" s="237">
        <f>SPC!$N$2</f>
        <v>17.3</v>
      </c>
      <c r="AX39" s="237">
        <f>SPC!$N$2</f>
        <v>17.3</v>
      </c>
      <c r="AY39" s="237">
        <f>SPC!$N$2</f>
        <v>17.3</v>
      </c>
      <c r="AZ39" s="237">
        <f>SPC!$N$2</f>
        <v>17.3</v>
      </c>
      <c r="BA39" s="237">
        <f>SPC!$N$2</f>
        <v>17.3</v>
      </c>
      <c r="BB39" s="237">
        <f>SPC!$N$2</f>
        <v>17.3</v>
      </c>
      <c r="BC39" s="237">
        <f>SPC!$N$2</f>
        <v>17.3</v>
      </c>
      <c r="BD39" s="237">
        <f>SPC!$N$2</f>
        <v>17.3</v>
      </c>
      <c r="BE39" s="237">
        <f>SPC!$N$2</f>
        <v>17.3</v>
      </c>
      <c r="BF39" s="237">
        <f>SPC!$N$2</f>
        <v>17.3</v>
      </c>
      <c r="BG39" s="237">
        <f>SPC!$N$2</f>
        <v>17.3</v>
      </c>
      <c r="BH39" s="237">
        <f>SPC!$N$2</f>
        <v>17.3</v>
      </c>
      <c r="BI39" s="237">
        <f>SPC!$N$2</f>
        <v>17.3</v>
      </c>
      <c r="BJ39" s="237">
        <f>SPC!$N$2</f>
        <v>17.3</v>
      </c>
      <c r="BK39" s="237">
        <f>SPC!$N$2</f>
        <v>17.3</v>
      </c>
      <c r="BL39" s="237">
        <f>SPC!$N$2</f>
        <v>17.3</v>
      </c>
      <c r="BM39" s="237">
        <f>SPC!$N$2</f>
        <v>17.3</v>
      </c>
      <c r="BN39" s="237">
        <f>SPC!$N$2</f>
        <v>17.3</v>
      </c>
      <c r="BO39" s="237">
        <f>SPC!$N$2</f>
        <v>17.3</v>
      </c>
      <c r="BP39" s="237">
        <f>SPC!$N$2</f>
        <v>17.3</v>
      </c>
      <c r="BQ39" s="237">
        <f>SPC!$N$2</f>
        <v>17.3</v>
      </c>
      <c r="BR39" s="237">
        <f>SPC!$N$2</f>
        <v>17.3</v>
      </c>
      <c r="BS39" s="237">
        <f>SPC!$N$2</f>
        <v>17.3</v>
      </c>
      <c r="BT39" s="237">
        <f>SPC!$N$2</f>
        <v>17.3</v>
      </c>
      <c r="BU39" s="237">
        <f>SPC!$N$2</f>
        <v>17.3</v>
      </c>
      <c r="BV39" s="237">
        <f>SPC!$N$2</f>
        <v>17.3</v>
      </c>
      <c r="BW39" s="237">
        <f>SPC!$N$2</f>
        <v>17.3</v>
      </c>
      <c r="BX39" s="237">
        <f>SPC!$N$2</f>
        <v>17.3</v>
      </c>
      <c r="BY39" s="237">
        <f>SPC!$N$2</f>
        <v>17.3</v>
      </c>
      <c r="BZ39" s="237">
        <f>SPC!$N$2</f>
        <v>17.3</v>
      </c>
      <c r="CA39" s="237">
        <f>SPC!$N$2</f>
        <v>17.3</v>
      </c>
      <c r="CB39" s="237">
        <f>SPC!$N$2</f>
        <v>17.3</v>
      </c>
      <c r="CC39" s="237">
        <f>SPC!$N$2</f>
        <v>17.3</v>
      </c>
      <c r="CD39" s="237">
        <f>SPC!$N$2</f>
        <v>17.3</v>
      </c>
      <c r="CE39" s="237">
        <f>SPC!$N$2</f>
        <v>17.3</v>
      </c>
      <c r="CF39" s="237">
        <f>SPC!$N$2</f>
        <v>17.3</v>
      </c>
      <c r="CG39" s="237">
        <f>SPC!$N$2</f>
        <v>17.3</v>
      </c>
      <c r="CH39" s="237">
        <f>SPC!$N$2</f>
        <v>17.3</v>
      </c>
      <c r="CI39" s="237">
        <f>SPC!$N$2</f>
        <v>17.3</v>
      </c>
      <c r="CJ39" s="237">
        <f>SPC!$N$2</f>
        <v>17.3</v>
      </c>
      <c r="CK39" s="237">
        <f>SPC!$N$2</f>
        <v>17.3</v>
      </c>
      <c r="CL39" s="237">
        <f>SPC!$N$2</f>
        <v>17.3</v>
      </c>
      <c r="CM39" s="237">
        <f>SPC!$N$2</f>
        <v>17.3</v>
      </c>
      <c r="CN39" s="237">
        <f>SPC!$N$2</f>
        <v>17.3</v>
      </c>
      <c r="CO39" s="237">
        <f>SPC!$N$2</f>
        <v>17.3</v>
      </c>
      <c r="CP39" s="237">
        <f>SPC!$N$2</f>
        <v>17.3</v>
      </c>
      <c r="CQ39" s="237">
        <f>SPC!$N$2</f>
        <v>17.3</v>
      </c>
      <c r="CR39" s="237">
        <f>SPC!$N$2</f>
        <v>17.3</v>
      </c>
      <c r="CS39" s="237">
        <f>SPC!$N$2</f>
        <v>17.3</v>
      </c>
      <c r="CT39" s="237">
        <f>SPC!$N$2</f>
        <v>17.3</v>
      </c>
    </row>
    <row r="40" spans="1:98" x14ac:dyDescent="0.25">
      <c r="A40" s="140">
        <f t="shared" si="1"/>
        <v>39</v>
      </c>
      <c r="B40" s="7">
        <f>SPC!AP$37</f>
        <v>17.236359515325198</v>
      </c>
      <c r="C40" s="3">
        <f t="shared" si="2"/>
        <v>1.3296286545373965</v>
      </c>
      <c r="D40" s="4">
        <f t="shared" si="3"/>
        <v>0.78</v>
      </c>
      <c r="E40" s="3">
        <f t="shared" si="0"/>
        <v>0.90817967389589449</v>
      </c>
      <c r="F40" s="3">
        <f t="shared" si="4"/>
        <v>90.817967389589455</v>
      </c>
      <c r="G40" s="142"/>
      <c r="H40" s="142"/>
      <c r="I40" s="142"/>
      <c r="J40" s="142"/>
      <c r="K40" s="142"/>
      <c r="L40" s="5"/>
      <c r="M40" s="149"/>
      <c r="P40" s="120"/>
      <c r="Q40" s="176"/>
      <c r="R40" s="88"/>
      <c r="S40" s="164" t="s">
        <v>52</v>
      </c>
      <c r="T40" s="214">
        <f t="shared" ref="T40:CE40" si="9">$X$33</f>
        <v>17.247152839795543</v>
      </c>
      <c r="U40" s="215">
        <f t="shared" si="9"/>
        <v>17.247152839795543</v>
      </c>
      <c r="V40" s="215">
        <f t="shared" si="9"/>
        <v>17.247152839795543</v>
      </c>
      <c r="W40" s="215">
        <f t="shared" si="9"/>
        <v>17.247152839795543</v>
      </c>
      <c r="X40" s="215">
        <f t="shared" si="9"/>
        <v>17.247152839795543</v>
      </c>
      <c r="Y40" s="215">
        <f t="shared" si="9"/>
        <v>17.247152839795543</v>
      </c>
      <c r="Z40" s="215">
        <f t="shared" si="9"/>
        <v>17.247152839795543</v>
      </c>
      <c r="AA40" s="215">
        <f t="shared" si="9"/>
        <v>17.247152839795543</v>
      </c>
      <c r="AB40" s="215">
        <f t="shared" si="9"/>
        <v>17.247152839795543</v>
      </c>
      <c r="AC40" s="215">
        <f t="shared" si="9"/>
        <v>17.247152839795543</v>
      </c>
      <c r="AD40" s="215">
        <f t="shared" si="9"/>
        <v>17.247152839795543</v>
      </c>
      <c r="AE40" s="215">
        <f t="shared" si="9"/>
        <v>17.247152839795543</v>
      </c>
      <c r="AF40" s="215">
        <f t="shared" si="9"/>
        <v>17.247152839795543</v>
      </c>
      <c r="AG40" s="215">
        <f t="shared" si="9"/>
        <v>17.247152839795543</v>
      </c>
      <c r="AH40" s="215">
        <f t="shared" si="9"/>
        <v>17.247152839795543</v>
      </c>
      <c r="AI40" s="215">
        <f t="shared" si="9"/>
        <v>17.247152839795543</v>
      </c>
      <c r="AJ40" s="215">
        <f t="shared" si="9"/>
        <v>17.247152839795543</v>
      </c>
      <c r="AK40" s="215">
        <f t="shared" si="9"/>
        <v>17.247152839795543</v>
      </c>
      <c r="AL40" s="215">
        <f t="shared" si="9"/>
        <v>17.247152839795543</v>
      </c>
      <c r="AM40" s="215">
        <f t="shared" si="9"/>
        <v>17.247152839795543</v>
      </c>
      <c r="AN40" s="215">
        <f t="shared" si="9"/>
        <v>17.247152839795543</v>
      </c>
      <c r="AO40" s="215">
        <f t="shared" si="9"/>
        <v>17.247152839795543</v>
      </c>
      <c r="AP40" s="215">
        <f t="shared" si="9"/>
        <v>17.247152839795543</v>
      </c>
      <c r="AQ40" s="215">
        <f t="shared" si="9"/>
        <v>17.247152839795543</v>
      </c>
      <c r="AR40" s="215">
        <f t="shared" si="9"/>
        <v>17.247152839795543</v>
      </c>
      <c r="AS40" s="215">
        <f t="shared" si="9"/>
        <v>17.247152839795543</v>
      </c>
      <c r="AT40" s="215">
        <f t="shared" si="9"/>
        <v>17.247152839795543</v>
      </c>
      <c r="AU40" s="215">
        <f t="shared" si="9"/>
        <v>17.247152839795543</v>
      </c>
      <c r="AV40" s="215">
        <f t="shared" si="9"/>
        <v>17.247152839795543</v>
      </c>
      <c r="AW40" s="215">
        <f t="shared" si="9"/>
        <v>17.247152839795543</v>
      </c>
      <c r="AX40" s="215">
        <f t="shared" si="9"/>
        <v>17.247152839795543</v>
      </c>
      <c r="AY40" s="215">
        <f t="shared" si="9"/>
        <v>17.247152839795543</v>
      </c>
      <c r="AZ40" s="215">
        <f t="shared" si="9"/>
        <v>17.247152839795543</v>
      </c>
      <c r="BA40" s="215">
        <f t="shared" si="9"/>
        <v>17.247152839795543</v>
      </c>
      <c r="BB40" s="215">
        <f t="shared" si="9"/>
        <v>17.247152839795543</v>
      </c>
      <c r="BC40" s="215">
        <f t="shared" si="9"/>
        <v>17.247152839795543</v>
      </c>
      <c r="BD40" s="215">
        <f t="shared" si="9"/>
        <v>17.247152839795543</v>
      </c>
      <c r="BE40" s="215">
        <f t="shared" si="9"/>
        <v>17.247152839795543</v>
      </c>
      <c r="BF40" s="215">
        <f t="shared" si="9"/>
        <v>17.247152839795543</v>
      </c>
      <c r="BG40" s="215">
        <f t="shared" si="9"/>
        <v>17.247152839795543</v>
      </c>
      <c r="BH40" s="215">
        <f t="shared" si="9"/>
        <v>17.247152839795543</v>
      </c>
      <c r="BI40" s="215">
        <f t="shared" si="9"/>
        <v>17.247152839795543</v>
      </c>
      <c r="BJ40" s="215">
        <f t="shared" si="9"/>
        <v>17.247152839795543</v>
      </c>
      <c r="BK40" s="215">
        <f t="shared" si="9"/>
        <v>17.247152839795543</v>
      </c>
      <c r="BL40" s="215">
        <f t="shared" si="9"/>
        <v>17.247152839795543</v>
      </c>
      <c r="BM40" s="215">
        <f t="shared" si="9"/>
        <v>17.247152839795543</v>
      </c>
      <c r="BN40" s="215">
        <f t="shared" si="9"/>
        <v>17.247152839795543</v>
      </c>
      <c r="BO40" s="215">
        <f t="shared" si="9"/>
        <v>17.247152839795543</v>
      </c>
      <c r="BP40" s="215">
        <f t="shared" si="9"/>
        <v>17.247152839795543</v>
      </c>
      <c r="BQ40" s="215">
        <f t="shared" si="9"/>
        <v>17.247152839795543</v>
      </c>
      <c r="BR40" s="215">
        <f t="shared" si="9"/>
        <v>17.247152839795543</v>
      </c>
      <c r="BS40" s="215">
        <f t="shared" si="9"/>
        <v>17.247152839795543</v>
      </c>
      <c r="BT40" s="215">
        <f t="shared" si="9"/>
        <v>17.247152839795543</v>
      </c>
      <c r="BU40" s="215">
        <f t="shared" si="9"/>
        <v>17.247152839795543</v>
      </c>
      <c r="BV40" s="215">
        <f t="shared" si="9"/>
        <v>17.247152839795543</v>
      </c>
      <c r="BW40" s="215">
        <f t="shared" si="9"/>
        <v>17.247152839795543</v>
      </c>
      <c r="BX40" s="215">
        <f t="shared" si="9"/>
        <v>17.247152839795543</v>
      </c>
      <c r="BY40" s="215">
        <f t="shared" si="9"/>
        <v>17.247152839795543</v>
      </c>
      <c r="BZ40" s="215">
        <f t="shared" si="9"/>
        <v>17.247152839795543</v>
      </c>
      <c r="CA40" s="215">
        <f t="shared" si="9"/>
        <v>17.247152839795543</v>
      </c>
      <c r="CB40" s="215">
        <f t="shared" si="9"/>
        <v>17.247152839795543</v>
      </c>
      <c r="CC40" s="215">
        <f t="shared" si="9"/>
        <v>17.247152839795543</v>
      </c>
      <c r="CD40" s="215">
        <f t="shared" si="9"/>
        <v>17.247152839795543</v>
      </c>
      <c r="CE40" s="215">
        <f t="shared" si="9"/>
        <v>17.247152839795543</v>
      </c>
      <c r="CF40" s="215">
        <f t="shared" ref="CF40:CT40" si="10">$X$33</f>
        <v>17.247152839795543</v>
      </c>
      <c r="CG40" s="215">
        <f t="shared" si="10"/>
        <v>17.247152839795543</v>
      </c>
      <c r="CH40" s="215">
        <f t="shared" si="10"/>
        <v>17.247152839795543</v>
      </c>
      <c r="CI40" s="215">
        <f t="shared" si="10"/>
        <v>17.247152839795543</v>
      </c>
      <c r="CJ40" s="215">
        <f t="shared" si="10"/>
        <v>17.247152839795543</v>
      </c>
      <c r="CK40" s="215">
        <f t="shared" si="10"/>
        <v>17.247152839795543</v>
      </c>
      <c r="CL40" s="215">
        <f t="shared" si="10"/>
        <v>17.247152839795543</v>
      </c>
      <c r="CM40" s="215">
        <f t="shared" si="10"/>
        <v>17.247152839795543</v>
      </c>
      <c r="CN40" s="215">
        <f t="shared" si="10"/>
        <v>17.247152839795543</v>
      </c>
      <c r="CO40" s="215">
        <f t="shared" si="10"/>
        <v>17.247152839795543</v>
      </c>
      <c r="CP40" s="215">
        <f t="shared" si="10"/>
        <v>17.247152839795543</v>
      </c>
      <c r="CQ40" s="215">
        <f t="shared" si="10"/>
        <v>17.247152839795543</v>
      </c>
      <c r="CR40" s="215">
        <f t="shared" si="10"/>
        <v>17.247152839795543</v>
      </c>
      <c r="CS40" s="215">
        <f t="shared" si="10"/>
        <v>17.247152839795543</v>
      </c>
      <c r="CT40" s="215">
        <f t="shared" si="10"/>
        <v>17.247152839795543</v>
      </c>
    </row>
    <row r="41" spans="1:98" x14ac:dyDescent="0.25">
      <c r="A41" s="140">
        <f t="shared" si="1"/>
        <v>40</v>
      </c>
      <c r="B41" s="7">
        <f>SPC!AQ$37</f>
        <v>17.223772299417032</v>
      </c>
      <c r="C41" s="3">
        <f t="shared" si="2"/>
        <v>-0.84469985260820879</v>
      </c>
      <c r="D41" s="4">
        <f t="shared" si="3"/>
        <v>0.28000000000000003</v>
      </c>
      <c r="E41" s="3">
        <f t="shared" si="0"/>
        <v>0.19913922089758435</v>
      </c>
      <c r="F41" s="3">
        <f t="shared" si="4"/>
        <v>19.913922089758433</v>
      </c>
      <c r="G41" s="142"/>
      <c r="H41" s="142"/>
      <c r="I41" s="142"/>
      <c r="J41" s="142"/>
      <c r="K41" s="142"/>
      <c r="L41" s="5"/>
      <c r="M41" s="149"/>
      <c r="P41" s="120"/>
      <c r="Q41" s="176"/>
      <c r="R41" s="88"/>
      <c r="S41" s="164" t="s">
        <v>51</v>
      </c>
      <c r="T41" s="216">
        <f t="shared" ref="T41:CE41" si="11">$U$33</f>
        <v>17.228586613750199</v>
      </c>
      <c r="U41" s="198">
        <f t="shared" si="11"/>
        <v>17.228586613750199</v>
      </c>
      <c r="V41" s="198">
        <f t="shared" si="11"/>
        <v>17.228586613750199</v>
      </c>
      <c r="W41" s="198">
        <f t="shared" si="11"/>
        <v>17.228586613750199</v>
      </c>
      <c r="X41" s="198">
        <f t="shared" si="11"/>
        <v>17.228586613750199</v>
      </c>
      <c r="Y41" s="198">
        <f t="shared" si="11"/>
        <v>17.228586613750199</v>
      </c>
      <c r="Z41" s="198">
        <f t="shared" si="11"/>
        <v>17.228586613750199</v>
      </c>
      <c r="AA41" s="198">
        <f t="shared" si="11"/>
        <v>17.228586613750199</v>
      </c>
      <c r="AB41" s="198">
        <f t="shared" si="11"/>
        <v>17.228586613750199</v>
      </c>
      <c r="AC41" s="198">
        <f t="shared" si="11"/>
        <v>17.228586613750199</v>
      </c>
      <c r="AD41" s="198">
        <f t="shared" si="11"/>
        <v>17.228586613750199</v>
      </c>
      <c r="AE41" s="198">
        <f t="shared" si="11"/>
        <v>17.228586613750199</v>
      </c>
      <c r="AF41" s="198">
        <f t="shared" si="11"/>
        <v>17.228586613750199</v>
      </c>
      <c r="AG41" s="198">
        <f t="shared" si="11"/>
        <v>17.228586613750199</v>
      </c>
      <c r="AH41" s="198">
        <f t="shared" si="11"/>
        <v>17.228586613750199</v>
      </c>
      <c r="AI41" s="198">
        <f t="shared" si="11"/>
        <v>17.228586613750199</v>
      </c>
      <c r="AJ41" s="198">
        <f t="shared" si="11"/>
        <v>17.228586613750199</v>
      </c>
      <c r="AK41" s="198">
        <f t="shared" si="11"/>
        <v>17.228586613750199</v>
      </c>
      <c r="AL41" s="198">
        <f t="shared" si="11"/>
        <v>17.228586613750199</v>
      </c>
      <c r="AM41" s="198">
        <f t="shared" si="11"/>
        <v>17.228586613750199</v>
      </c>
      <c r="AN41" s="198">
        <f t="shared" si="11"/>
        <v>17.228586613750199</v>
      </c>
      <c r="AO41" s="198">
        <f t="shared" si="11"/>
        <v>17.228586613750199</v>
      </c>
      <c r="AP41" s="198">
        <f t="shared" si="11"/>
        <v>17.228586613750199</v>
      </c>
      <c r="AQ41" s="198">
        <f t="shared" si="11"/>
        <v>17.228586613750199</v>
      </c>
      <c r="AR41" s="198">
        <f t="shared" si="11"/>
        <v>17.228586613750199</v>
      </c>
      <c r="AS41" s="198">
        <f t="shared" si="11"/>
        <v>17.228586613750199</v>
      </c>
      <c r="AT41" s="198">
        <f t="shared" si="11"/>
        <v>17.228586613750199</v>
      </c>
      <c r="AU41" s="198">
        <f t="shared" si="11"/>
        <v>17.228586613750199</v>
      </c>
      <c r="AV41" s="198">
        <f t="shared" si="11"/>
        <v>17.228586613750199</v>
      </c>
      <c r="AW41" s="198">
        <f t="shared" si="11"/>
        <v>17.228586613750199</v>
      </c>
      <c r="AX41" s="198">
        <f t="shared" si="11"/>
        <v>17.228586613750199</v>
      </c>
      <c r="AY41" s="198">
        <f t="shared" si="11"/>
        <v>17.228586613750199</v>
      </c>
      <c r="AZ41" s="198">
        <f t="shared" si="11"/>
        <v>17.228586613750199</v>
      </c>
      <c r="BA41" s="198">
        <f t="shared" si="11"/>
        <v>17.228586613750199</v>
      </c>
      <c r="BB41" s="198">
        <f t="shared" si="11"/>
        <v>17.228586613750199</v>
      </c>
      <c r="BC41" s="198">
        <f t="shared" si="11"/>
        <v>17.228586613750199</v>
      </c>
      <c r="BD41" s="198">
        <f t="shared" si="11"/>
        <v>17.228586613750199</v>
      </c>
      <c r="BE41" s="198">
        <f t="shared" si="11"/>
        <v>17.228586613750199</v>
      </c>
      <c r="BF41" s="198">
        <f t="shared" si="11"/>
        <v>17.228586613750199</v>
      </c>
      <c r="BG41" s="198">
        <f t="shared" si="11"/>
        <v>17.228586613750199</v>
      </c>
      <c r="BH41" s="198">
        <f t="shared" si="11"/>
        <v>17.228586613750199</v>
      </c>
      <c r="BI41" s="198">
        <f t="shared" si="11"/>
        <v>17.228586613750199</v>
      </c>
      <c r="BJ41" s="198">
        <f t="shared" si="11"/>
        <v>17.228586613750199</v>
      </c>
      <c r="BK41" s="198">
        <f t="shared" si="11"/>
        <v>17.228586613750199</v>
      </c>
      <c r="BL41" s="198">
        <f t="shared" si="11"/>
        <v>17.228586613750199</v>
      </c>
      <c r="BM41" s="198">
        <f t="shared" si="11"/>
        <v>17.228586613750199</v>
      </c>
      <c r="BN41" s="198">
        <f t="shared" si="11"/>
        <v>17.228586613750199</v>
      </c>
      <c r="BO41" s="198">
        <f t="shared" si="11"/>
        <v>17.228586613750199</v>
      </c>
      <c r="BP41" s="198">
        <f t="shared" si="11"/>
        <v>17.228586613750199</v>
      </c>
      <c r="BQ41" s="198">
        <f t="shared" si="11"/>
        <v>17.228586613750199</v>
      </c>
      <c r="BR41" s="198">
        <f t="shared" si="11"/>
        <v>17.228586613750199</v>
      </c>
      <c r="BS41" s="198">
        <f t="shared" si="11"/>
        <v>17.228586613750199</v>
      </c>
      <c r="BT41" s="198">
        <f t="shared" si="11"/>
        <v>17.228586613750199</v>
      </c>
      <c r="BU41" s="198">
        <f t="shared" si="11"/>
        <v>17.228586613750199</v>
      </c>
      <c r="BV41" s="198">
        <f t="shared" si="11"/>
        <v>17.228586613750199</v>
      </c>
      <c r="BW41" s="198">
        <f t="shared" si="11"/>
        <v>17.228586613750199</v>
      </c>
      <c r="BX41" s="198">
        <f t="shared" si="11"/>
        <v>17.228586613750199</v>
      </c>
      <c r="BY41" s="198">
        <f t="shared" si="11"/>
        <v>17.228586613750199</v>
      </c>
      <c r="BZ41" s="198">
        <f t="shared" si="11"/>
        <v>17.228586613750199</v>
      </c>
      <c r="CA41" s="198">
        <f t="shared" si="11"/>
        <v>17.228586613750199</v>
      </c>
      <c r="CB41" s="198">
        <f t="shared" si="11"/>
        <v>17.228586613750199</v>
      </c>
      <c r="CC41" s="198">
        <f t="shared" si="11"/>
        <v>17.228586613750199</v>
      </c>
      <c r="CD41" s="198">
        <f t="shared" si="11"/>
        <v>17.228586613750199</v>
      </c>
      <c r="CE41" s="198">
        <f t="shared" si="11"/>
        <v>17.228586613750199</v>
      </c>
      <c r="CF41" s="198">
        <f t="shared" ref="CF41:CT41" si="12">$U$33</f>
        <v>17.228586613750199</v>
      </c>
      <c r="CG41" s="198">
        <f t="shared" si="12"/>
        <v>17.228586613750199</v>
      </c>
      <c r="CH41" s="198">
        <f t="shared" si="12"/>
        <v>17.228586613750199</v>
      </c>
      <c r="CI41" s="198">
        <f t="shared" si="12"/>
        <v>17.228586613750199</v>
      </c>
      <c r="CJ41" s="198">
        <f t="shared" si="12"/>
        <v>17.228586613750199</v>
      </c>
      <c r="CK41" s="198">
        <f t="shared" si="12"/>
        <v>17.228586613750199</v>
      </c>
      <c r="CL41" s="198">
        <f t="shared" si="12"/>
        <v>17.228586613750199</v>
      </c>
      <c r="CM41" s="198">
        <f t="shared" si="12"/>
        <v>17.228586613750199</v>
      </c>
      <c r="CN41" s="198">
        <f t="shared" si="12"/>
        <v>17.228586613750199</v>
      </c>
      <c r="CO41" s="198">
        <f t="shared" si="12"/>
        <v>17.228586613750199</v>
      </c>
      <c r="CP41" s="198">
        <f t="shared" si="12"/>
        <v>17.228586613750199</v>
      </c>
      <c r="CQ41" s="198">
        <f t="shared" si="12"/>
        <v>17.228586613750199</v>
      </c>
      <c r="CR41" s="198">
        <f t="shared" si="12"/>
        <v>17.228586613750199</v>
      </c>
      <c r="CS41" s="198">
        <f t="shared" si="12"/>
        <v>17.228586613750199</v>
      </c>
      <c r="CT41" s="198">
        <f t="shared" si="12"/>
        <v>17.228586613750199</v>
      </c>
    </row>
    <row r="42" spans="1:98" x14ac:dyDescent="0.25">
      <c r="A42" s="140">
        <f t="shared" si="1"/>
        <v>41</v>
      </c>
      <c r="B42" s="7">
        <f>SPC!AR$37</f>
        <v>17.232445480875615</v>
      </c>
      <c r="C42" s="3">
        <f t="shared" si="2"/>
        <v>0.65351435382403833</v>
      </c>
      <c r="D42" s="4">
        <f t="shared" si="3"/>
        <v>0.54</v>
      </c>
      <c r="E42" s="3">
        <f t="shared" si="0"/>
        <v>0.74328763059357206</v>
      </c>
      <c r="F42" s="3">
        <f t="shared" si="4"/>
        <v>74.3287630593572</v>
      </c>
      <c r="G42" s="142"/>
      <c r="H42" s="142"/>
      <c r="I42" s="142"/>
      <c r="J42" s="142"/>
      <c r="K42" s="142"/>
      <c r="L42" s="5"/>
      <c r="M42" s="149"/>
      <c r="P42" s="121"/>
      <c r="Q42" s="176"/>
      <c r="R42" s="88"/>
      <c r="S42" s="164" t="s">
        <v>58</v>
      </c>
      <c r="T42" s="216">
        <f t="shared" ref="T42:CE42" si="13">$X$34</f>
        <v>17.210020387704855</v>
      </c>
      <c r="U42" s="198">
        <f t="shared" si="13"/>
        <v>17.210020387704855</v>
      </c>
      <c r="V42" s="198">
        <f t="shared" si="13"/>
        <v>17.210020387704855</v>
      </c>
      <c r="W42" s="198">
        <f t="shared" si="13"/>
        <v>17.210020387704855</v>
      </c>
      <c r="X42" s="198">
        <f t="shared" si="13"/>
        <v>17.210020387704855</v>
      </c>
      <c r="Y42" s="198">
        <f t="shared" si="13"/>
        <v>17.210020387704855</v>
      </c>
      <c r="Z42" s="198">
        <f t="shared" si="13"/>
        <v>17.210020387704855</v>
      </c>
      <c r="AA42" s="198">
        <f t="shared" si="13"/>
        <v>17.210020387704855</v>
      </c>
      <c r="AB42" s="198">
        <f t="shared" si="13"/>
        <v>17.210020387704855</v>
      </c>
      <c r="AC42" s="198">
        <f t="shared" si="13"/>
        <v>17.210020387704855</v>
      </c>
      <c r="AD42" s="198">
        <f t="shared" si="13"/>
        <v>17.210020387704855</v>
      </c>
      <c r="AE42" s="198">
        <f t="shared" si="13"/>
        <v>17.210020387704855</v>
      </c>
      <c r="AF42" s="198">
        <f t="shared" si="13"/>
        <v>17.210020387704855</v>
      </c>
      <c r="AG42" s="198">
        <f t="shared" si="13"/>
        <v>17.210020387704855</v>
      </c>
      <c r="AH42" s="198">
        <f t="shared" si="13"/>
        <v>17.210020387704855</v>
      </c>
      <c r="AI42" s="198">
        <f t="shared" si="13"/>
        <v>17.210020387704855</v>
      </c>
      <c r="AJ42" s="198">
        <f t="shared" si="13"/>
        <v>17.210020387704855</v>
      </c>
      <c r="AK42" s="198">
        <f t="shared" si="13"/>
        <v>17.210020387704855</v>
      </c>
      <c r="AL42" s="198">
        <f t="shared" si="13"/>
        <v>17.210020387704855</v>
      </c>
      <c r="AM42" s="198">
        <f t="shared" si="13"/>
        <v>17.210020387704855</v>
      </c>
      <c r="AN42" s="198">
        <f t="shared" si="13"/>
        <v>17.210020387704855</v>
      </c>
      <c r="AO42" s="198">
        <f t="shared" si="13"/>
        <v>17.210020387704855</v>
      </c>
      <c r="AP42" s="198">
        <f t="shared" si="13"/>
        <v>17.210020387704855</v>
      </c>
      <c r="AQ42" s="198">
        <f t="shared" si="13"/>
        <v>17.210020387704855</v>
      </c>
      <c r="AR42" s="198">
        <f t="shared" si="13"/>
        <v>17.210020387704855</v>
      </c>
      <c r="AS42" s="198">
        <f t="shared" si="13"/>
        <v>17.210020387704855</v>
      </c>
      <c r="AT42" s="198">
        <f t="shared" si="13"/>
        <v>17.210020387704855</v>
      </c>
      <c r="AU42" s="198">
        <f t="shared" si="13"/>
        <v>17.210020387704855</v>
      </c>
      <c r="AV42" s="198">
        <f t="shared" si="13"/>
        <v>17.210020387704855</v>
      </c>
      <c r="AW42" s="198">
        <f t="shared" si="13"/>
        <v>17.210020387704855</v>
      </c>
      <c r="AX42" s="198">
        <f t="shared" si="13"/>
        <v>17.210020387704855</v>
      </c>
      <c r="AY42" s="198">
        <f t="shared" si="13"/>
        <v>17.210020387704855</v>
      </c>
      <c r="AZ42" s="198">
        <f t="shared" si="13"/>
        <v>17.210020387704855</v>
      </c>
      <c r="BA42" s="198">
        <f t="shared" si="13"/>
        <v>17.210020387704855</v>
      </c>
      <c r="BB42" s="198">
        <f t="shared" si="13"/>
        <v>17.210020387704855</v>
      </c>
      <c r="BC42" s="198">
        <f t="shared" si="13"/>
        <v>17.210020387704855</v>
      </c>
      <c r="BD42" s="198">
        <f t="shared" si="13"/>
        <v>17.210020387704855</v>
      </c>
      <c r="BE42" s="198">
        <f t="shared" si="13"/>
        <v>17.210020387704855</v>
      </c>
      <c r="BF42" s="198">
        <f t="shared" si="13"/>
        <v>17.210020387704855</v>
      </c>
      <c r="BG42" s="198">
        <f t="shared" si="13"/>
        <v>17.210020387704855</v>
      </c>
      <c r="BH42" s="198">
        <f t="shared" si="13"/>
        <v>17.210020387704855</v>
      </c>
      <c r="BI42" s="198">
        <f t="shared" si="13"/>
        <v>17.210020387704855</v>
      </c>
      <c r="BJ42" s="198">
        <f t="shared" si="13"/>
        <v>17.210020387704855</v>
      </c>
      <c r="BK42" s="198">
        <f t="shared" si="13"/>
        <v>17.210020387704855</v>
      </c>
      <c r="BL42" s="198">
        <f t="shared" si="13"/>
        <v>17.210020387704855</v>
      </c>
      <c r="BM42" s="198">
        <f t="shared" si="13"/>
        <v>17.210020387704855</v>
      </c>
      <c r="BN42" s="198">
        <f t="shared" si="13"/>
        <v>17.210020387704855</v>
      </c>
      <c r="BO42" s="198">
        <f t="shared" si="13"/>
        <v>17.210020387704855</v>
      </c>
      <c r="BP42" s="198">
        <f t="shared" si="13"/>
        <v>17.210020387704855</v>
      </c>
      <c r="BQ42" s="198">
        <f t="shared" si="13"/>
        <v>17.210020387704855</v>
      </c>
      <c r="BR42" s="198">
        <f t="shared" si="13"/>
        <v>17.210020387704855</v>
      </c>
      <c r="BS42" s="198">
        <f t="shared" si="13"/>
        <v>17.210020387704855</v>
      </c>
      <c r="BT42" s="198">
        <f t="shared" si="13"/>
        <v>17.210020387704855</v>
      </c>
      <c r="BU42" s="198">
        <f t="shared" si="13"/>
        <v>17.210020387704855</v>
      </c>
      <c r="BV42" s="198">
        <f t="shared" si="13"/>
        <v>17.210020387704855</v>
      </c>
      <c r="BW42" s="198">
        <f t="shared" si="13"/>
        <v>17.210020387704855</v>
      </c>
      <c r="BX42" s="198">
        <f t="shared" si="13"/>
        <v>17.210020387704855</v>
      </c>
      <c r="BY42" s="198">
        <f t="shared" si="13"/>
        <v>17.210020387704855</v>
      </c>
      <c r="BZ42" s="198">
        <f t="shared" si="13"/>
        <v>17.210020387704855</v>
      </c>
      <c r="CA42" s="198">
        <f t="shared" si="13"/>
        <v>17.210020387704855</v>
      </c>
      <c r="CB42" s="198">
        <f t="shared" si="13"/>
        <v>17.210020387704855</v>
      </c>
      <c r="CC42" s="198">
        <f t="shared" si="13"/>
        <v>17.210020387704855</v>
      </c>
      <c r="CD42" s="198">
        <f t="shared" si="13"/>
        <v>17.210020387704855</v>
      </c>
      <c r="CE42" s="198">
        <f t="shared" si="13"/>
        <v>17.210020387704855</v>
      </c>
      <c r="CF42" s="198">
        <f t="shared" ref="CF42:CT42" si="14">$X$34</f>
        <v>17.210020387704855</v>
      </c>
      <c r="CG42" s="198">
        <f t="shared" si="14"/>
        <v>17.210020387704855</v>
      </c>
      <c r="CH42" s="198">
        <f t="shared" si="14"/>
        <v>17.210020387704855</v>
      </c>
      <c r="CI42" s="198">
        <f t="shared" si="14"/>
        <v>17.210020387704855</v>
      </c>
      <c r="CJ42" s="198">
        <f t="shared" si="14"/>
        <v>17.210020387704855</v>
      </c>
      <c r="CK42" s="198">
        <f t="shared" si="14"/>
        <v>17.210020387704855</v>
      </c>
      <c r="CL42" s="198">
        <f t="shared" si="14"/>
        <v>17.210020387704855</v>
      </c>
      <c r="CM42" s="198">
        <f t="shared" si="14"/>
        <v>17.210020387704855</v>
      </c>
      <c r="CN42" s="198">
        <f t="shared" si="14"/>
        <v>17.210020387704855</v>
      </c>
      <c r="CO42" s="198">
        <f t="shared" si="14"/>
        <v>17.210020387704855</v>
      </c>
      <c r="CP42" s="198">
        <f t="shared" si="14"/>
        <v>17.210020387704855</v>
      </c>
      <c r="CQ42" s="198">
        <f t="shared" si="14"/>
        <v>17.210020387704855</v>
      </c>
      <c r="CR42" s="198">
        <f t="shared" si="14"/>
        <v>17.210020387704855</v>
      </c>
      <c r="CS42" s="198">
        <f t="shared" si="14"/>
        <v>17.210020387704855</v>
      </c>
      <c r="CT42" s="198">
        <f t="shared" si="14"/>
        <v>17.210020387704855</v>
      </c>
    </row>
    <row r="43" spans="1:98" x14ac:dyDescent="0.25">
      <c r="A43" s="140">
        <f t="shared" si="1"/>
        <v>42</v>
      </c>
      <c r="B43" s="7">
        <f>SPC!AS$37</f>
        <v>17.222663910821439</v>
      </c>
      <c r="C43" s="3">
        <f t="shared" si="2"/>
        <v>-1.0361640284813074</v>
      </c>
      <c r="D43" s="4">
        <f t="shared" si="3"/>
        <v>0.04</v>
      </c>
      <c r="E43" s="3">
        <f t="shared" si="0"/>
        <v>0.15006281265045684</v>
      </c>
      <c r="F43" s="3">
        <f t="shared" si="4"/>
        <v>15.006281265045684</v>
      </c>
      <c r="G43" s="142"/>
      <c r="H43" s="142"/>
      <c r="I43" s="142"/>
      <c r="J43" s="142"/>
      <c r="K43" s="142"/>
      <c r="L43" s="5"/>
      <c r="M43" s="149"/>
      <c r="P43" s="119"/>
      <c r="Q43" s="176"/>
      <c r="R43" s="88"/>
      <c r="S43" s="164" t="s">
        <v>61</v>
      </c>
      <c r="T43" s="216">
        <f t="shared" ref="T43:CE43" si="15">$X$35</f>
        <v>6.8022533552614922E-2</v>
      </c>
      <c r="U43" s="198">
        <f t="shared" si="15"/>
        <v>6.8022533552614922E-2</v>
      </c>
      <c r="V43" s="198">
        <f t="shared" si="15"/>
        <v>6.8022533552614922E-2</v>
      </c>
      <c r="W43" s="198">
        <f t="shared" si="15"/>
        <v>6.8022533552614922E-2</v>
      </c>
      <c r="X43" s="198">
        <f t="shared" si="15"/>
        <v>6.8022533552614922E-2</v>
      </c>
      <c r="Y43" s="198">
        <f t="shared" si="15"/>
        <v>6.8022533552614922E-2</v>
      </c>
      <c r="Z43" s="198">
        <f t="shared" si="15"/>
        <v>6.8022533552614922E-2</v>
      </c>
      <c r="AA43" s="198">
        <f t="shared" si="15"/>
        <v>6.8022533552614922E-2</v>
      </c>
      <c r="AB43" s="198">
        <f t="shared" si="15"/>
        <v>6.8022533552614922E-2</v>
      </c>
      <c r="AC43" s="198">
        <f t="shared" si="15"/>
        <v>6.8022533552614922E-2</v>
      </c>
      <c r="AD43" s="198">
        <f t="shared" si="15"/>
        <v>6.8022533552614922E-2</v>
      </c>
      <c r="AE43" s="198">
        <f t="shared" si="15"/>
        <v>6.8022533552614922E-2</v>
      </c>
      <c r="AF43" s="198">
        <f t="shared" si="15"/>
        <v>6.8022533552614922E-2</v>
      </c>
      <c r="AG43" s="198">
        <f t="shared" si="15"/>
        <v>6.8022533552614922E-2</v>
      </c>
      <c r="AH43" s="198">
        <f t="shared" si="15"/>
        <v>6.8022533552614922E-2</v>
      </c>
      <c r="AI43" s="198">
        <f t="shared" si="15"/>
        <v>6.8022533552614922E-2</v>
      </c>
      <c r="AJ43" s="198">
        <f t="shared" si="15"/>
        <v>6.8022533552614922E-2</v>
      </c>
      <c r="AK43" s="198">
        <f t="shared" si="15"/>
        <v>6.8022533552614922E-2</v>
      </c>
      <c r="AL43" s="198">
        <f t="shared" si="15"/>
        <v>6.8022533552614922E-2</v>
      </c>
      <c r="AM43" s="198">
        <f t="shared" si="15"/>
        <v>6.8022533552614922E-2</v>
      </c>
      <c r="AN43" s="198">
        <f t="shared" si="15"/>
        <v>6.8022533552614922E-2</v>
      </c>
      <c r="AO43" s="198">
        <f t="shared" si="15"/>
        <v>6.8022533552614922E-2</v>
      </c>
      <c r="AP43" s="198">
        <f t="shared" si="15"/>
        <v>6.8022533552614922E-2</v>
      </c>
      <c r="AQ43" s="198">
        <f t="shared" si="15"/>
        <v>6.8022533552614922E-2</v>
      </c>
      <c r="AR43" s="198">
        <f t="shared" si="15"/>
        <v>6.8022533552614922E-2</v>
      </c>
      <c r="AS43" s="198">
        <f t="shared" si="15"/>
        <v>6.8022533552614922E-2</v>
      </c>
      <c r="AT43" s="198">
        <f t="shared" si="15"/>
        <v>6.8022533552614922E-2</v>
      </c>
      <c r="AU43" s="198">
        <f t="shared" si="15"/>
        <v>6.8022533552614922E-2</v>
      </c>
      <c r="AV43" s="198">
        <f t="shared" si="15"/>
        <v>6.8022533552614922E-2</v>
      </c>
      <c r="AW43" s="198">
        <f t="shared" si="15"/>
        <v>6.8022533552614922E-2</v>
      </c>
      <c r="AX43" s="198">
        <f t="shared" si="15"/>
        <v>6.8022533552614922E-2</v>
      </c>
      <c r="AY43" s="198">
        <f t="shared" si="15"/>
        <v>6.8022533552614922E-2</v>
      </c>
      <c r="AZ43" s="198">
        <f t="shared" si="15"/>
        <v>6.8022533552614922E-2</v>
      </c>
      <c r="BA43" s="198">
        <f t="shared" si="15"/>
        <v>6.8022533552614922E-2</v>
      </c>
      <c r="BB43" s="198">
        <f t="shared" si="15"/>
        <v>6.8022533552614922E-2</v>
      </c>
      <c r="BC43" s="198">
        <f t="shared" si="15"/>
        <v>6.8022533552614922E-2</v>
      </c>
      <c r="BD43" s="198">
        <f t="shared" si="15"/>
        <v>6.8022533552614922E-2</v>
      </c>
      <c r="BE43" s="198">
        <f t="shared" si="15"/>
        <v>6.8022533552614922E-2</v>
      </c>
      <c r="BF43" s="198">
        <f t="shared" si="15"/>
        <v>6.8022533552614922E-2</v>
      </c>
      <c r="BG43" s="198">
        <f t="shared" si="15"/>
        <v>6.8022533552614922E-2</v>
      </c>
      <c r="BH43" s="198">
        <f t="shared" si="15"/>
        <v>6.8022533552614922E-2</v>
      </c>
      <c r="BI43" s="198">
        <f t="shared" si="15"/>
        <v>6.8022533552614922E-2</v>
      </c>
      <c r="BJ43" s="198">
        <f t="shared" si="15"/>
        <v>6.8022533552614922E-2</v>
      </c>
      <c r="BK43" s="198">
        <f t="shared" si="15"/>
        <v>6.8022533552614922E-2</v>
      </c>
      <c r="BL43" s="198">
        <f t="shared" si="15"/>
        <v>6.8022533552614922E-2</v>
      </c>
      <c r="BM43" s="198">
        <f t="shared" si="15"/>
        <v>6.8022533552614922E-2</v>
      </c>
      <c r="BN43" s="198">
        <f t="shared" si="15"/>
        <v>6.8022533552614922E-2</v>
      </c>
      <c r="BO43" s="198">
        <f t="shared" si="15"/>
        <v>6.8022533552614922E-2</v>
      </c>
      <c r="BP43" s="198">
        <f t="shared" si="15"/>
        <v>6.8022533552614922E-2</v>
      </c>
      <c r="BQ43" s="198">
        <f t="shared" si="15"/>
        <v>6.8022533552614922E-2</v>
      </c>
      <c r="BR43" s="198">
        <f t="shared" si="15"/>
        <v>6.8022533552614922E-2</v>
      </c>
      <c r="BS43" s="198">
        <f t="shared" si="15"/>
        <v>6.8022533552614922E-2</v>
      </c>
      <c r="BT43" s="198">
        <f t="shared" si="15"/>
        <v>6.8022533552614922E-2</v>
      </c>
      <c r="BU43" s="198">
        <f t="shared" si="15"/>
        <v>6.8022533552614922E-2</v>
      </c>
      <c r="BV43" s="198">
        <f t="shared" si="15"/>
        <v>6.8022533552614922E-2</v>
      </c>
      <c r="BW43" s="198">
        <f t="shared" si="15"/>
        <v>6.8022533552614922E-2</v>
      </c>
      <c r="BX43" s="198">
        <f t="shared" si="15"/>
        <v>6.8022533552614922E-2</v>
      </c>
      <c r="BY43" s="198">
        <f t="shared" si="15"/>
        <v>6.8022533552614922E-2</v>
      </c>
      <c r="BZ43" s="198">
        <f t="shared" si="15"/>
        <v>6.8022533552614922E-2</v>
      </c>
      <c r="CA43" s="198">
        <f t="shared" si="15"/>
        <v>6.8022533552614922E-2</v>
      </c>
      <c r="CB43" s="198">
        <f t="shared" si="15"/>
        <v>6.8022533552614922E-2</v>
      </c>
      <c r="CC43" s="198">
        <f t="shared" si="15"/>
        <v>6.8022533552614922E-2</v>
      </c>
      <c r="CD43" s="198">
        <f t="shared" si="15"/>
        <v>6.8022533552614922E-2</v>
      </c>
      <c r="CE43" s="198">
        <f t="shared" si="15"/>
        <v>6.8022533552614922E-2</v>
      </c>
      <c r="CF43" s="198">
        <f t="shared" ref="CF43:CT43" si="16">$X$35</f>
        <v>6.8022533552614922E-2</v>
      </c>
      <c r="CG43" s="198">
        <f t="shared" si="16"/>
        <v>6.8022533552614922E-2</v>
      </c>
      <c r="CH43" s="198">
        <f t="shared" si="16"/>
        <v>6.8022533552614922E-2</v>
      </c>
      <c r="CI43" s="198">
        <f t="shared" si="16"/>
        <v>6.8022533552614922E-2</v>
      </c>
      <c r="CJ43" s="198">
        <f t="shared" si="16"/>
        <v>6.8022533552614922E-2</v>
      </c>
      <c r="CK43" s="198">
        <f t="shared" si="16"/>
        <v>6.8022533552614922E-2</v>
      </c>
      <c r="CL43" s="198">
        <f t="shared" si="16"/>
        <v>6.8022533552614922E-2</v>
      </c>
      <c r="CM43" s="198">
        <f t="shared" si="16"/>
        <v>6.8022533552614922E-2</v>
      </c>
      <c r="CN43" s="198">
        <f t="shared" si="16"/>
        <v>6.8022533552614922E-2</v>
      </c>
      <c r="CO43" s="198">
        <f t="shared" si="16"/>
        <v>6.8022533552614922E-2</v>
      </c>
      <c r="CP43" s="198">
        <f t="shared" si="16"/>
        <v>6.8022533552614922E-2</v>
      </c>
      <c r="CQ43" s="198">
        <f t="shared" si="16"/>
        <v>6.8022533552614922E-2</v>
      </c>
      <c r="CR43" s="198">
        <f t="shared" si="16"/>
        <v>6.8022533552614922E-2</v>
      </c>
      <c r="CS43" s="198">
        <f t="shared" si="16"/>
        <v>6.8022533552614922E-2</v>
      </c>
      <c r="CT43" s="198">
        <f t="shared" si="16"/>
        <v>6.8022533552614922E-2</v>
      </c>
    </row>
    <row r="44" spans="1:98" ht="13.8" thickBot="1" x14ac:dyDescent="0.3">
      <c r="A44" s="140">
        <f t="shared" si="1"/>
        <v>43</v>
      </c>
      <c r="B44" s="7">
        <f>SPC!AT$37</f>
        <v>17.236359515325198</v>
      </c>
      <c r="C44" s="3">
        <f t="shared" si="2"/>
        <v>1.3296286545373965</v>
      </c>
      <c r="D44" s="4">
        <f t="shared" si="3"/>
        <v>0.78</v>
      </c>
      <c r="E44" s="3">
        <f t="shared" si="0"/>
        <v>0.90817967389589449</v>
      </c>
      <c r="F44" s="3">
        <f t="shared" si="4"/>
        <v>90.817967389589455</v>
      </c>
      <c r="G44" s="142"/>
      <c r="H44" s="142"/>
      <c r="I44" s="142"/>
      <c r="J44" s="142"/>
      <c r="K44" s="142"/>
      <c r="L44" s="5"/>
      <c r="M44" s="149"/>
      <c r="P44" s="9"/>
      <c r="Q44" s="176"/>
      <c r="R44" s="88"/>
      <c r="S44" s="164" t="s">
        <v>60</v>
      </c>
      <c r="T44" s="217">
        <f t="shared" ref="T44:CE44" si="17">$U$35</f>
        <v>3.2177168189505639E-2</v>
      </c>
      <c r="U44" s="218">
        <f t="shared" si="17"/>
        <v>3.2177168189505639E-2</v>
      </c>
      <c r="V44" s="218">
        <f t="shared" si="17"/>
        <v>3.2177168189505639E-2</v>
      </c>
      <c r="W44" s="218">
        <f t="shared" si="17"/>
        <v>3.2177168189505639E-2</v>
      </c>
      <c r="X44" s="218">
        <f t="shared" si="17"/>
        <v>3.2177168189505639E-2</v>
      </c>
      <c r="Y44" s="218">
        <f t="shared" si="17"/>
        <v>3.2177168189505639E-2</v>
      </c>
      <c r="Z44" s="218">
        <f t="shared" si="17"/>
        <v>3.2177168189505639E-2</v>
      </c>
      <c r="AA44" s="218">
        <f t="shared" si="17"/>
        <v>3.2177168189505639E-2</v>
      </c>
      <c r="AB44" s="218">
        <f t="shared" si="17"/>
        <v>3.2177168189505639E-2</v>
      </c>
      <c r="AC44" s="218">
        <f t="shared" si="17"/>
        <v>3.2177168189505639E-2</v>
      </c>
      <c r="AD44" s="218">
        <f t="shared" si="17"/>
        <v>3.2177168189505639E-2</v>
      </c>
      <c r="AE44" s="218">
        <f t="shared" si="17"/>
        <v>3.2177168189505639E-2</v>
      </c>
      <c r="AF44" s="218">
        <f t="shared" si="17"/>
        <v>3.2177168189505639E-2</v>
      </c>
      <c r="AG44" s="218">
        <f t="shared" si="17"/>
        <v>3.2177168189505639E-2</v>
      </c>
      <c r="AH44" s="218">
        <f t="shared" si="17"/>
        <v>3.2177168189505639E-2</v>
      </c>
      <c r="AI44" s="218">
        <f t="shared" si="17"/>
        <v>3.2177168189505639E-2</v>
      </c>
      <c r="AJ44" s="218">
        <f t="shared" si="17"/>
        <v>3.2177168189505639E-2</v>
      </c>
      <c r="AK44" s="218">
        <f t="shared" si="17"/>
        <v>3.2177168189505639E-2</v>
      </c>
      <c r="AL44" s="218">
        <f t="shared" si="17"/>
        <v>3.2177168189505639E-2</v>
      </c>
      <c r="AM44" s="218">
        <f t="shared" si="17"/>
        <v>3.2177168189505639E-2</v>
      </c>
      <c r="AN44" s="218">
        <f t="shared" si="17"/>
        <v>3.2177168189505639E-2</v>
      </c>
      <c r="AO44" s="218">
        <f t="shared" si="17"/>
        <v>3.2177168189505639E-2</v>
      </c>
      <c r="AP44" s="218">
        <f t="shared" si="17"/>
        <v>3.2177168189505639E-2</v>
      </c>
      <c r="AQ44" s="218">
        <f t="shared" si="17"/>
        <v>3.2177168189505639E-2</v>
      </c>
      <c r="AR44" s="218">
        <f t="shared" si="17"/>
        <v>3.2177168189505639E-2</v>
      </c>
      <c r="AS44" s="218">
        <f t="shared" si="17"/>
        <v>3.2177168189505639E-2</v>
      </c>
      <c r="AT44" s="218">
        <f t="shared" si="17"/>
        <v>3.2177168189505639E-2</v>
      </c>
      <c r="AU44" s="218">
        <f t="shared" si="17"/>
        <v>3.2177168189505639E-2</v>
      </c>
      <c r="AV44" s="218">
        <f t="shared" si="17"/>
        <v>3.2177168189505639E-2</v>
      </c>
      <c r="AW44" s="218">
        <f t="shared" si="17"/>
        <v>3.2177168189505639E-2</v>
      </c>
      <c r="AX44" s="218">
        <f t="shared" si="17"/>
        <v>3.2177168189505639E-2</v>
      </c>
      <c r="AY44" s="218">
        <f t="shared" si="17"/>
        <v>3.2177168189505639E-2</v>
      </c>
      <c r="AZ44" s="218">
        <f t="shared" si="17"/>
        <v>3.2177168189505639E-2</v>
      </c>
      <c r="BA44" s="218">
        <f t="shared" si="17"/>
        <v>3.2177168189505639E-2</v>
      </c>
      <c r="BB44" s="218">
        <f t="shared" si="17"/>
        <v>3.2177168189505639E-2</v>
      </c>
      <c r="BC44" s="218">
        <f t="shared" si="17"/>
        <v>3.2177168189505639E-2</v>
      </c>
      <c r="BD44" s="218">
        <f t="shared" si="17"/>
        <v>3.2177168189505639E-2</v>
      </c>
      <c r="BE44" s="218">
        <f t="shared" si="17"/>
        <v>3.2177168189505639E-2</v>
      </c>
      <c r="BF44" s="218">
        <f t="shared" si="17"/>
        <v>3.2177168189505639E-2</v>
      </c>
      <c r="BG44" s="218">
        <f t="shared" si="17"/>
        <v>3.2177168189505639E-2</v>
      </c>
      <c r="BH44" s="218">
        <f t="shared" si="17"/>
        <v>3.2177168189505639E-2</v>
      </c>
      <c r="BI44" s="218">
        <f t="shared" si="17"/>
        <v>3.2177168189505639E-2</v>
      </c>
      <c r="BJ44" s="218">
        <f t="shared" si="17"/>
        <v>3.2177168189505639E-2</v>
      </c>
      <c r="BK44" s="218">
        <f t="shared" si="17"/>
        <v>3.2177168189505639E-2</v>
      </c>
      <c r="BL44" s="218">
        <f t="shared" si="17"/>
        <v>3.2177168189505639E-2</v>
      </c>
      <c r="BM44" s="218">
        <f t="shared" si="17"/>
        <v>3.2177168189505639E-2</v>
      </c>
      <c r="BN44" s="218">
        <f t="shared" si="17"/>
        <v>3.2177168189505639E-2</v>
      </c>
      <c r="BO44" s="218">
        <f t="shared" si="17"/>
        <v>3.2177168189505639E-2</v>
      </c>
      <c r="BP44" s="218">
        <f t="shared" si="17"/>
        <v>3.2177168189505639E-2</v>
      </c>
      <c r="BQ44" s="218">
        <f t="shared" si="17"/>
        <v>3.2177168189505639E-2</v>
      </c>
      <c r="BR44" s="218">
        <f t="shared" si="17"/>
        <v>3.2177168189505639E-2</v>
      </c>
      <c r="BS44" s="218">
        <f t="shared" si="17"/>
        <v>3.2177168189505639E-2</v>
      </c>
      <c r="BT44" s="218">
        <f t="shared" si="17"/>
        <v>3.2177168189505639E-2</v>
      </c>
      <c r="BU44" s="218">
        <f t="shared" si="17"/>
        <v>3.2177168189505639E-2</v>
      </c>
      <c r="BV44" s="218">
        <f t="shared" si="17"/>
        <v>3.2177168189505639E-2</v>
      </c>
      <c r="BW44" s="218">
        <f t="shared" si="17"/>
        <v>3.2177168189505639E-2</v>
      </c>
      <c r="BX44" s="218">
        <f t="shared" si="17"/>
        <v>3.2177168189505639E-2</v>
      </c>
      <c r="BY44" s="218">
        <f t="shared" si="17"/>
        <v>3.2177168189505639E-2</v>
      </c>
      <c r="BZ44" s="218">
        <f t="shared" si="17"/>
        <v>3.2177168189505639E-2</v>
      </c>
      <c r="CA44" s="218">
        <f t="shared" si="17"/>
        <v>3.2177168189505639E-2</v>
      </c>
      <c r="CB44" s="218">
        <f t="shared" si="17"/>
        <v>3.2177168189505639E-2</v>
      </c>
      <c r="CC44" s="218">
        <f t="shared" si="17"/>
        <v>3.2177168189505639E-2</v>
      </c>
      <c r="CD44" s="218">
        <f t="shared" si="17"/>
        <v>3.2177168189505639E-2</v>
      </c>
      <c r="CE44" s="218">
        <f t="shared" si="17"/>
        <v>3.2177168189505639E-2</v>
      </c>
      <c r="CF44" s="218">
        <f t="shared" ref="CF44:CT44" si="18">$U$35</f>
        <v>3.2177168189505639E-2</v>
      </c>
      <c r="CG44" s="218">
        <f t="shared" si="18"/>
        <v>3.2177168189505639E-2</v>
      </c>
      <c r="CH44" s="218">
        <f t="shared" si="18"/>
        <v>3.2177168189505639E-2</v>
      </c>
      <c r="CI44" s="218">
        <f t="shared" si="18"/>
        <v>3.2177168189505639E-2</v>
      </c>
      <c r="CJ44" s="218">
        <f t="shared" si="18"/>
        <v>3.2177168189505639E-2</v>
      </c>
      <c r="CK44" s="218">
        <f t="shared" si="18"/>
        <v>3.2177168189505639E-2</v>
      </c>
      <c r="CL44" s="218">
        <f t="shared" si="18"/>
        <v>3.2177168189505639E-2</v>
      </c>
      <c r="CM44" s="218">
        <f t="shared" si="18"/>
        <v>3.2177168189505639E-2</v>
      </c>
      <c r="CN44" s="218">
        <f t="shared" si="18"/>
        <v>3.2177168189505639E-2</v>
      </c>
      <c r="CO44" s="218">
        <f t="shared" si="18"/>
        <v>3.2177168189505639E-2</v>
      </c>
      <c r="CP44" s="218">
        <f t="shared" si="18"/>
        <v>3.2177168189505639E-2</v>
      </c>
      <c r="CQ44" s="218">
        <f t="shared" si="18"/>
        <v>3.2177168189505639E-2</v>
      </c>
      <c r="CR44" s="218">
        <f t="shared" si="18"/>
        <v>3.2177168189505639E-2</v>
      </c>
      <c r="CS44" s="218">
        <f t="shared" si="18"/>
        <v>3.2177168189505639E-2</v>
      </c>
      <c r="CT44" s="218">
        <f t="shared" si="18"/>
        <v>3.2177168189505639E-2</v>
      </c>
    </row>
    <row r="45" spans="1:98" x14ac:dyDescent="0.25">
      <c r="A45" s="140">
        <f t="shared" si="1"/>
        <v>44</v>
      </c>
      <c r="B45" s="7">
        <f>SPC!AU$37</f>
        <v>17.223772299417032</v>
      </c>
      <c r="C45" s="3">
        <f t="shared" si="2"/>
        <v>-0.84469985260820879</v>
      </c>
      <c r="D45" s="4">
        <f t="shared" si="3"/>
        <v>0.28000000000000003</v>
      </c>
      <c r="E45" s="3">
        <f t="shared" si="0"/>
        <v>0.19913922089758435</v>
      </c>
      <c r="F45" s="3">
        <f t="shared" si="4"/>
        <v>19.913922089758433</v>
      </c>
      <c r="G45" s="142"/>
      <c r="H45" s="142"/>
      <c r="I45" s="142"/>
      <c r="J45" s="142"/>
      <c r="K45" s="142"/>
      <c r="L45" s="5"/>
      <c r="M45" s="149"/>
      <c r="P45" s="9"/>
      <c r="Q45" s="177"/>
      <c r="R45" s="88"/>
      <c r="S45" s="164" t="s">
        <v>64</v>
      </c>
      <c r="T45" s="164">
        <f t="shared" ref="T45:CE45" si="19">$X$36</f>
        <v>0</v>
      </c>
      <c r="U45" s="164">
        <f t="shared" si="19"/>
        <v>0</v>
      </c>
      <c r="V45" s="164">
        <f t="shared" si="19"/>
        <v>0</v>
      </c>
      <c r="W45" s="164">
        <f t="shared" si="19"/>
        <v>0</v>
      </c>
      <c r="X45" s="164">
        <f t="shared" si="19"/>
        <v>0</v>
      </c>
      <c r="Y45" s="164">
        <f t="shared" si="19"/>
        <v>0</v>
      </c>
      <c r="Z45" s="164">
        <f t="shared" si="19"/>
        <v>0</v>
      </c>
      <c r="AA45" s="164">
        <f t="shared" si="19"/>
        <v>0</v>
      </c>
      <c r="AB45" s="164">
        <f t="shared" si="19"/>
        <v>0</v>
      </c>
      <c r="AC45" s="164">
        <f t="shared" si="19"/>
        <v>0</v>
      </c>
      <c r="AD45" s="164">
        <f t="shared" si="19"/>
        <v>0</v>
      </c>
      <c r="AE45" s="164">
        <f t="shared" si="19"/>
        <v>0</v>
      </c>
      <c r="AF45" s="164">
        <f t="shared" si="19"/>
        <v>0</v>
      </c>
      <c r="AG45" s="164">
        <f t="shared" si="19"/>
        <v>0</v>
      </c>
      <c r="AH45" s="164">
        <f t="shared" si="19"/>
        <v>0</v>
      </c>
      <c r="AI45" s="164">
        <f t="shared" si="19"/>
        <v>0</v>
      </c>
      <c r="AJ45" s="164">
        <f t="shared" si="19"/>
        <v>0</v>
      </c>
      <c r="AK45" s="164">
        <f t="shared" si="19"/>
        <v>0</v>
      </c>
      <c r="AL45" s="164">
        <f t="shared" si="19"/>
        <v>0</v>
      </c>
      <c r="AM45" s="164">
        <f t="shared" si="19"/>
        <v>0</v>
      </c>
      <c r="AN45" s="164">
        <f t="shared" si="19"/>
        <v>0</v>
      </c>
      <c r="AO45" s="164">
        <f t="shared" si="19"/>
        <v>0</v>
      </c>
      <c r="AP45" s="164">
        <f t="shared" si="19"/>
        <v>0</v>
      </c>
      <c r="AQ45" s="164">
        <f t="shared" si="19"/>
        <v>0</v>
      </c>
      <c r="AR45" s="164">
        <f t="shared" si="19"/>
        <v>0</v>
      </c>
      <c r="AS45" s="164">
        <f t="shared" si="19"/>
        <v>0</v>
      </c>
      <c r="AT45" s="164">
        <f t="shared" si="19"/>
        <v>0</v>
      </c>
      <c r="AU45" s="164">
        <f t="shared" si="19"/>
        <v>0</v>
      </c>
      <c r="AV45" s="164">
        <f t="shared" si="19"/>
        <v>0</v>
      </c>
      <c r="AW45" s="164">
        <f t="shared" si="19"/>
        <v>0</v>
      </c>
      <c r="AX45" s="164">
        <f t="shared" si="19"/>
        <v>0</v>
      </c>
      <c r="AY45" s="164">
        <f t="shared" si="19"/>
        <v>0</v>
      </c>
      <c r="AZ45" s="164">
        <f t="shared" si="19"/>
        <v>0</v>
      </c>
      <c r="BA45" s="164">
        <f t="shared" si="19"/>
        <v>0</v>
      </c>
      <c r="BB45" s="164">
        <f t="shared" si="19"/>
        <v>0</v>
      </c>
      <c r="BC45" s="164">
        <f t="shared" si="19"/>
        <v>0</v>
      </c>
      <c r="BD45" s="164">
        <f t="shared" si="19"/>
        <v>0</v>
      </c>
      <c r="BE45" s="164">
        <f t="shared" si="19"/>
        <v>0</v>
      </c>
      <c r="BF45" s="164">
        <f t="shared" si="19"/>
        <v>0</v>
      </c>
      <c r="BG45" s="164">
        <f t="shared" si="19"/>
        <v>0</v>
      </c>
      <c r="BH45" s="164">
        <f t="shared" si="19"/>
        <v>0</v>
      </c>
      <c r="BI45" s="164">
        <f t="shared" si="19"/>
        <v>0</v>
      </c>
      <c r="BJ45" s="164">
        <f t="shared" si="19"/>
        <v>0</v>
      </c>
      <c r="BK45" s="164">
        <f t="shared" si="19"/>
        <v>0</v>
      </c>
      <c r="BL45" s="164">
        <f t="shared" si="19"/>
        <v>0</v>
      </c>
      <c r="BM45" s="164">
        <f t="shared" si="19"/>
        <v>0</v>
      </c>
      <c r="BN45" s="164">
        <f t="shared" si="19"/>
        <v>0</v>
      </c>
      <c r="BO45" s="164">
        <f t="shared" si="19"/>
        <v>0</v>
      </c>
      <c r="BP45" s="164">
        <f t="shared" si="19"/>
        <v>0</v>
      </c>
      <c r="BQ45" s="164">
        <f t="shared" si="19"/>
        <v>0</v>
      </c>
      <c r="BR45" s="164">
        <f t="shared" si="19"/>
        <v>0</v>
      </c>
      <c r="BS45" s="164">
        <f t="shared" si="19"/>
        <v>0</v>
      </c>
      <c r="BT45" s="164">
        <f t="shared" si="19"/>
        <v>0</v>
      </c>
      <c r="BU45" s="164">
        <f t="shared" si="19"/>
        <v>0</v>
      </c>
      <c r="BV45" s="164">
        <f t="shared" si="19"/>
        <v>0</v>
      </c>
      <c r="BW45" s="164">
        <f t="shared" si="19"/>
        <v>0</v>
      </c>
      <c r="BX45" s="164">
        <f t="shared" si="19"/>
        <v>0</v>
      </c>
      <c r="BY45" s="164">
        <f t="shared" si="19"/>
        <v>0</v>
      </c>
      <c r="BZ45" s="164">
        <f t="shared" si="19"/>
        <v>0</v>
      </c>
      <c r="CA45" s="164">
        <f t="shared" si="19"/>
        <v>0</v>
      </c>
      <c r="CB45" s="164">
        <f t="shared" si="19"/>
        <v>0</v>
      </c>
      <c r="CC45" s="164">
        <f t="shared" si="19"/>
        <v>0</v>
      </c>
      <c r="CD45" s="164">
        <f t="shared" si="19"/>
        <v>0</v>
      </c>
      <c r="CE45" s="164">
        <f t="shared" si="19"/>
        <v>0</v>
      </c>
      <c r="CF45" s="164">
        <f t="shared" ref="CF45:CT45" si="20">$X$36</f>
        <v>0</v>
      </c>
      <c r="CG45" s="164">
        <f t="shared" si="20"/>
        <v>0</v>
      </c>
      <c r="CH45" s="164">
        <f t="shared" si="20"/>
        <v>0</v>
      </c>
      <c r="CI45" s="164">
        <f t="shared" si="20"/>
        <v>0</v>
      </c>
      <c r="CJ45" s="164">
        <f t="shared" si="20"/>
        <v>0</v>
      </c>
      <c r="CK45" s="164">
        <f t="shared" si="20"/>
        <v>0</v>
      </c>
      <c r="CL45" s="164">
        <f t="shared" si="20"/>
        <v>0</v>
      </c>
      <c r="CM45" s="164">
        <f t="shared" si="20"/>
        <v>0</v>
      </c>
      <c r="CN45" s="164">
        <f t="shared" si="20"/>
        <v>0</v>
      </c>
      <c r="CO45" s="164">
        <f t="shared" si="20"/>
        <v>0</v>
      </c>
      <c r="CP45" s="164">
        <f t="shared" si="20"/>
        <v>0</v>
      </c>
      <c r="CQ45" s="164">
        <f t="shared" si="20"/>
        <v>0</v>
      </c>
      <c r="CR45" s="164">
        <f t="shared" si="20"/>
        <v>0</v>
      </c>
      <c r="CS45" s="164">
        <f t="shared" si="20"/>
        <v>0</v>
      </c>
      <c r="CT45" s="164">
        <f t="shared" si="20"/>
        <v>0</v>
      </c>
    </row>
    <row r="46" spans="1:98" x14ac:dyDescent="0.25">
      <c r="A46" s="140">
        <f t="shared" si="1"/>
        <v>45</v>
      </c>
      <c r="B46" s="7">
        <f>SPC!AV$37</f>
        <v>17.232445480875615</v>
      </c>
      <c r="C46" s="3">
        <f t="shared" si="2"/>
        <v>0.65351435382403833</v>
      </c>
      <c r="D46" s="4">
        <f t="shared" si="3"/>
        <v>0.54</v>
      </c>
      <c r="E46" s="3">
        <f t="shared" si="0"/>
        <v>0.74328763059357206</v>
      </c>
      <c r="F46" s="3">
        <f t="shared" si="4"/>
        <v>74.3287630593572</v>
      </c>
      <c r="G46" s="142"/>
      <c r="H46" s="142"/>
      <c r="I46" s="142"/>
      <c r="J46" s="142"/>
      <c r="K46" s="142"/>
      <c r="L46" s="5"/>
      <c r="M46" s="149"/>
      <c r="P46" s="10"/>
      <c r="Q46" s="177"/>
      <c r="R46" s="88"/>
      <c r="S46" s="164"/>
      <c r="T46" s="164"/>
      <c r="U46" s="164"/>
      <c r="V46" s="164"/>
      <c r="W46" s="164"/>
      <c r="X46" s="164"/>
      <c r="Y46" s="164"/>
      <c r="Z46" s="164"/>
      <c r="AA46" s="164"/>
      <c r="AB46" s="164"/>
      <c r="AC46" s="164"/>
      <c r="AD46" s="164"/>
      <c r="AE46" s="164"/>
      <c r="AF46" s="164"/>
      <c r="AG46" s="164"/>
      <c r="AH46" s="164"/>
      <c r="AI46" s="164"/>
      <c r="AJ46" s="164"/>
      <c r="AK46" s="164"/>
      <c r="AL46" s="164"/>
      <c r="AM46" s="164"/>
      <c r="AN46" s="164"/>
      <c r="AO46" s="164"/>
      <c r="AP46" s="164"/>
      <c r="AQ46" s="164"/>
      <c r="AR46" s="164"/>
      <c r="AS46" s="26"/>
      <c r="AT46" s="26"/>
      <c r="BU46" s="26"/>
      <c r="BV46" s="178"/>
      <c r="BW46" s="26"/>
    </row>
    <row r="47" spans="1:98" ht="15.6" x14ac:dyDescent="0.3">
      <c r="A47" s="140">
        <f t="shared" si="1"/>
        <v>46</v>
      </c>
      <c r="B47" s="7">
        <f>SPC!AW$37</f>
        <v>17.222663910821439</v>
      </c>
      <c r="C47" s="3">
        <f t="shared" si="2"/>
        <v>-1.0361640284813074</v>
      </c>
      <c r="D47" s="4">
        <f t="shared" si="3"/>
        <v>0.04</v>
      </c>
      <c r="E47" s="3">
        <f t="shared" si="0"/>
        <v>0.15006281265045684</v>
      </c>
      <c r="F47" s="3">
        <f t="shared" si="4"/>
        <v>15.006281265045684</v>
      </c>
      <c r="G47" s="142"/>
      <c r="H47" s="142"/>
      <c r="I47" s="142"/>
      <c r="J47" s="142"/>
      <c r="K47" s="142"/>
      <c r="L47" s="5"/>
      <c r="M47" s="149"/>
      <c r="P47" s="66"/>
      <c r="Q47" s="168"/>
      <c r="R47" s="88"/>
      <c r="S47" s="164" t="s">
        <v>66</v>
      </c>
      <c r="T47" s="88"/>
      <c r="U47" s="164">
        <f>IF(SPC!D37&gt;SPC!C37,1,0)</f>
        <v>1</v>
      </c>
      <c r="V47" s="164">
        <f>IF(SPC!E37&gt;SPC!D37,1,0)</f>
        <v>0</v>
      </c>
      <c r="W47" s="164">
        <f>IF(SPC!F37&gt;SPC!E37,1,0)</f>
        <v>1</v>
      </c>
      <c r="X47" s="164">
        <f>IF(SPC!G37&gt;SPC!F37,1,0)</f>
        <v>0</v>
      </c>
      <c r="Y47" s="164">
        <f>IF(SPC!H37&gt;SPC!G37,1,0)</f>
        <v>1</v>
      </c>
      <c r="Z47" s="164">
        <f>IF(SPC!I37&gt;SPC!H37,1,0)</f>
        <v>0</v>
      </c>
      <c r="AA47" s="164">
        <f>IF(SPC!J37&gt;SPC!I37,1,0)</f>
        <v>1</v>
      </c>
      <c r="AB47" s="164">
        <f>IF(SPC!K37&gt;SPC!J37,1,0)</f>
        <v>0</v>
      </c>
      <c r="AC47" s="164">
        <f>IF(SPC!L37&gt;SPC!K37,1,0)</f>
        <v>1</v>
      </c>
      <c r="AD47" s="164">
        <f>IF(SPC!M37&gt;SPC!L37,1,0)</f>
        <v>0</v>
      </c>
      <c r="AE47" s="164">
        <f>IF(SPC!N37&gt;SPC!M37,1,0)</f>
        <v>1</v>
      </c>
      <c r="AF47" s="164">
        <f>IF(SPC!O37&gt;SPC!N37,1,0)</f>
        <v>0</v>
      </c>
      <c r="AG47" s="164">
        <f>IF(SPC!P37&gt;SPC!O37,1,0)</f>
        <v>1</v>
      </c>
      <c r="AH47" s="164">
        <f>IF(SPC!Q37&gt;SPC!P37,1,0)</f>
        <v>0</v>
      </c>
      <c r="AI47" s="164">
        <f>IF(SPC!R37&gt;SPC!Q37,1,0)</f>
        <v>1</v>
      </c>
      <c r="AJ47" s="164">
        <f>IF(SPC!S37&gt;SPC!R37,1,0)</f>
        <v>0</v>
      </c>
      <c r="AK47" s="164">
        <f>IF(SPC!T37&gt;SPC!S37,1,0)</f>
        <v>1</v>
      </c>
      <c r="AL47" s="164">
        <f>IF(SPC!U37&gt;SPC!T37,1,0)</f>
        <v>0</v>
      </c>
      <c r="AM47" s="164">
        <f>IF(SPC!V37&gt;SPC!U37,1,0)</f>
        <v>1</v>
      </c>
      <c r="AN47" s="164">
        <f>IF(SPC!W37&gt;SPC!V37,1,0)</f>
        <v>0</v>
      </c>
      <c r="AO47" s="164">
        <f>IF(SPC!X37&gt;SPC!W37,1,0)</f>
        <v>1</v>
      </c>
      <c r="AP47" s="164">
        <f>IF(SPC!Y37&gt;SPC!X37,1,0)</f>
        <v>0</v>
      </c>
      <c r="AQ47" s="164">
        <f>IF(SPC!Z37&gt;SPC!Y37,1,0)</f>
        <v>1</v>
      </c>
      <c r="AR47" s="164">
        <f>IF(SPC!AA37&gt;SPC!Z37,1,0)</f>
        <v>0</v>
      </c>
      <c r="AS47" s="164">
        <f>IF(SPC!AC37&gt;SPC!AA37,1,0)</f>
        <v>0</v>
      </c>
      <c r="AT47" s="164">
        <f>IF(SPC!AD37&gt;SPC!AC37,1,0)</f>
        <v>1</v>
      </c>
      <c r="AU47" s="164">
        <f>IF(SPC!AE37&gt;SPC!AD37,1,0)</f>
        <v>0</v>
      </c>
      <c r="AV47" s="164">
        <f>IF(SPC!AF37&gt;SPC!AE37,1,0)</f>
        <v>1</v>
      </c>
      <c r="AW47" s="164">
        <f>IF(SPC!AG37&gt;SPC!AF37,1,0)</f>
        <v>0</v>
      </c>
      <c r="AX47" s="164">
        <f>IF(SPC!AH37&gt;SPC!AG37,1,0)</f>
        <v>1</v>
      </c>
      <c r="AY47" s="164">
        <f>IF(SPC!AI37&gt;SPC!AH37,1,0)</f>
        <v>0</v>
      </c>
      <c r="AZ47" s="164">
        <f>IF(SPC!AJ37&gt;SPC!AI37,1,0)</f>
        <v>1</v>
      </c>
      <c r="BA47" s="164">
        <f>IF(SPC!AK37&gt;SPC!AJ37,1,0)</f>
        <v>0</v>
      </c>
      <c r="BB47" s="164">
        <f>IF(SPC!AL37&gt;SPC!AK37,1,0)</f>
        <v>1</v>
      </c>
      <c r="BC47" s="164">
        <f>IF(SPC!AM37&gt;SPC!AL37,1,0)</f>
        <v>0</v>
      </c>
      <c r="BD47" s="164">
        <f>IF(SPC!AN37&gt;SPC!AM37,1,0)</f>
        <v>1</v>
      </c>
      <c r="BE47" s="164">
        <f>IF(SPC!AO37&gt;SPC!AN37,1,0)</f>
        <v>0</v>
      </c>
      <c r="BF47" s="164">
        <f>IF(SPC!AP37&gt;SPC!AO37,1,0)</f>
        <v>1</v>
      </c>
      <c r="BG47" s="164">
        <f>IF(SPC!AQ37&gt;SPC!AP37,1,0)</f>
        <v>0</v>
      </c>
      <c r="BH47" s="164">
        <f>IF(SPC!AR37&gt;SPC!AQ37,1,0)</f>
        <v>1</v>
      </c>
      <c r="BI47" s="164">
        <f>IF(SPC!AS37&gt;SPC!AR37,1,0)</f>
        <v>0</v>
      </c>
      <c r="BJ47" s="164">
        <f>IF(SPC!AT37&gt;SPC!AS37,1,0)</f>
        <v>1</v>
      </c>
      <c r="BK47" s="164">
        <f>IF(SPC!AU37&gt;SPC!AT37,1,0)</f>
        <v>0</v>
      </c>
      <c r="BL47" s="164">
        <f>IF(SPC!AV37&gt;SPC!AU37,1,0)</f>
        <v>1</v>
      </c>
      <c r="BM47" s="164">
        <f>IF(SPC!AW37&gt;SPC!AV37,1,0)</f>
        <v>0</v>
      </c>
      <c r="BN47" s="164">
        <f>IF(SPC!AX37&gt;SPC!AW37,1,0)</f>
        <v>1</v>
      </c>
      <c r="BO47" s="164">
        <f>IF(SPC!AY37&gt;SPC!AX37,1,0)</f>
        <v>0</v>
      </c>
      <c r="BP47" s="164">
        <f>IF(SPC!AZ37&gt;SPC!AY37,1,0)</f>
        <v>1</v>
      </c>
      <c r="BQ47" s="164">
        <f>IF(P42&gt;SPC!AZ37,1,0)</f>
        <v>0</v>
      </c>
      <c r="BR47" s="164"/>
      <c r="BS47" s="164"/>
      <c r="BT47" s="88"/>
      <c r="BU47" s="88"/>
      <c r="BV47" s="143"/>
      <c r="BW47" s="12"/>
    </row>
    <row r="48" spans="1:98" ht="15.6" x14ac:dyDescent="0.3">
      <c r="A48" s="140">
        <f t="shared" si="1"/>
        <v>47</v>
      </c>
      <c r="B48" s="7">
        <f>SPC!AX$37</f>
        <v>17.236359515325198</v>
      </c>
      <c r="C48" s="3">
        <f t="shared" si="2"/>
        <v>1.3296286545373965</v>
      </c>
      <c r="D48" s="4">
        <f t="shared" si="3"/>
        <v>0.78</v>
      </c>
      <c r="E48" s="3">
        <f t="shared" si="0"/>
        <v>0.90817967389589449</v>
      </c>
      <c r="F48" s="3">
        <f t="shared" si="4"/>
        <v>90.817967389589455</v>
      </c>
      <c r="G48" s="142"/>
      <c r="H48" s="142"/>
      <c r="I48" s="142"/>
      <c r="J48" s="142"/>
      <c r="K48" s="142"/>
      <c r="L48" s="5"/>
      <c r="M48" s="149"/>
      <c r="P48" s="67"/>
      <c r="Q48" s="168"/>
      <c r="R48" s="88"/>
      <c r="S48" s="164" t="s">
        <v>67</v>
      </c>
      <c r="T48" s="88"/>
      <c r="U48" s="164">
        <f>IF(U47=1,T48+U47,0)</f>
        <v>1</v>
      </c>
      <c r="V48" s="164">
        <f>IF(AND(V47=1,SPC!E37&gt;SPC!D37),U48+V47,0)</f>
        <v>0</v>
      </c>
      <c r="W48" s="164">
        <f>IF(AND(W47=1,SPC!F37&gt;SPC!E37),V48+W47,0)</f>
        <v>1</v>
      </c>
      <c r="X48" s="164">
        <f>IF(AND(X47=1,SPC!G37&gt;SPC!F37),W48+X47,0)</f>
        <v>0</v>
      </c>
      <c r="Y48" s="164">
        <f>IF(AND(Y47=1,SPC!H37&gt;SPC!G37),X48+Y47,0)</f>
        <v>1</v>
      </c>
      <c r="Z48" s="164">
        <f>IF(AND(Z47=1,SPC!I37&gt;SPC!H37),Y48+Z47,0)</f>
        <v>0</v>
      </c>
      <c r="AA48" s="164">
        <f>IF(AND(AA47=1,SPC!J37&gt;SPC!I37),Z48+AA47,0)</f>
        <v>1</v>
      </c>
      <c r="AB48" s="164">
        <f>IF(AND(AB47=1,SPC!K37&gt;SPC!J37),AA48+AB47,0)</f>
        <v>0</v>
      </c>
      <c r="AC48" s="164">
        <f>IF(AND(AC47=1,SPC!L37&gt;SPC!K37),AB48+AC47,0)</f>
        <v>1</v>
      </c>
      <c r="AD48" s="164">
        <f>IF(AND(AD47=1,SPC!M37&gt;SPC!L37),AC48+AD47,0)</f>
        <v>0</v>
      </c>
      <c r="AE48" s="164">
        <f>IF(AND(AE47=1,SPC!N37&gt;SPC!M37),AD48+AE47,0)</f>
        <v>1</v>
      </c>
      <c r="AF48" s="164">
        <f>IF(AND(AF47=1,SPC!O37&gt;SPC!N37),AE48+AF47,0)</f>
        <v>0</v>
      </c>
      <c r="AG48" s="164">
        <f>IF(AND(AG47=1,SPC!P37&gt;SPC!O37),AF48+AG47,0)</f>
        <v>1</v>
      </c>
      <c r="AH48" s="164">
        <f>IF(AND(AH47=1,SPC!Q37&gt;SPC!P37),AG48+AH47,0)</f>
        <v>0</v>
      </c>
      <c r="AI48" s="164">
        <f>IF(AND(AI47=1,SPC!R37&gt;SPC!Q37),AH48+AI47,0)</f>
        <v>1</v>
      </c>
      <c r="AJ48" s="164">
        <f>IF(AND(AJ47=1,SPC!S37&gt;SPC!R37),AI48+AJ47,0)</f>
        <v>0</v>
      </c>
      <c r="AK48" s="164">
        <f>IF(AND(AK47=1,SPC!T37&gt;SPC!S37),AJ48+AK47,0)</f>
        <v>1</v>
      </c>
      <c r="AL48" s="164">
        <f>IF(AND(AL47=1,SPC!U37&gt;SPC!T37),AK48+AL47,0)</f>
        <v>0</v>
      </c>
      <c r="AM48" s="164">
        <f>IF(AND(AM47=1,SPC!V37&gt;SPC!U37),AL48+AM47,0)</f>
        <v>1</v>
      </c>
      <c r="AN48" s="164">
        <f>IF(AND(AN47=1,SPC!W37&gt;SPC!V37),AM48+AN47,0)</f>
        <v>0</v>
      </c>
      <c r="AO48" s="164">
        <f>IF(AND(AO47=1,SPC!X37&gt;SPC!W37),AN48+AO47,0)</f>
        <v>1</v>
      </c>
      <c r="AP48" s="164">
        <f>IF(AND(AP47=1,SPC!Y37&gt;SPC!X37),AO48+AP47,0)</f>
        <v>0</v>
      </c>
      <c r="AQ48" s="164">
        <f>IF(AND(AQ47=1,SPC!Z37&gt;SPC!Y37),AP48+AQ47,0)</f>
        <v>1</v>
      </c>
      <c r="AR48" s="164">
        <f>IF(AND(AR47=1,SPC!AA37&gt;SPC!Z37),AQ48+AR47,0)</f>
        <v>0</v>
      </c>
      <c r="AS48" s="164">
        <f>IF(AND(AS47=1,SPC!AC37&gt;SPC!AA37),AR48+AS47,0)</f>
        <v>0</v>
      </c>
      <c r="AT48" s="164">
        <f>IF(AND(AT47=1,SPC!AD37&gt;SPC!AC37),AS48+AT47,0)</f>
        <v>1</v>
      </c>
      <c r="AU48" s="164">
        <f>IF(AND(AU47=1,SPC!AE37&gt;SPC!AD37),AT48+AU47,0)</f>
        <v>0</v>
      </c>
      <c r="AV48" s="164">
        <f>IF(AND(AV47=1,SPC!AF37&gt;SPC!AE37),AU48+AV47,0)</f>
        <v>1</v>
      </c>
      <c r="AW48" s="164">
        <f>IF(AND(AW47=1,SPC!AG37&gt;SPC!AF37),AV48+AW47,0)</f>
        <v>0</v>
      </c>
      <c r="AX48" s="164">
        <f>IF(AND(AX47=1,SPC!AH37&gt;SPC!AG37),AW48+AX47,0)</f>
        <v>1</v>
      </c>
      <c r="AY48" s="164">
        <f>IF(AND(AY47=1,SPC!AI37&gt;SPC!AH37),AX48+AY47,0)</f>
        <v>0</v>
      </c>
      <c r="AZ48" s="164">
        <f>IF(AND(AZ47=1,SPC!AJ37&gt;SPC!AI37),AY48+AZ47,0)</f>
        <v>1</v>
      </c>
      <c r="BA48" s="164">
        <f>IF(AND(BA47=1,SPC!AK37&gt;SPC!AJ37),AZ48+BA47,0)</f>
        <v>0</v>
      </c>
      <c r="BB48" s="164">
        <f>IF(AND(BB47=1,SPC!AL37&gt;SPC!AK37),BA48+BB47,0)</f>
        <v>1</v>
      </c>
      <c r="BC48" s="164">
        <f>IF(AND(BC47=1,SPC!AM37&gt;SPC!AL37),BB48+BC47,0)</f>
        <v>0</v>
      </c>
      <c r="BD48" s="164">
        <f>IF(AND(BD47=1,SPC!AN37&gt;SPC!AM37),BC48+BD47,0)</f>
        <v>1</v>
      </c>
      <c r="BE48" s="164">
        <f>IF(AND(BE47=1,SPC!AO37&gt;SPC!AN37),BD48+BE47,0)</f>
        <v>0</v>
      </c>
      <c r="BF48" s="164">
        <f>IF(AND(BF47=1,SPC!AP37&gt;SPC!AO37),BE48+BF47,0)</f>
        <v>1</v>
      </c>
      <c r="BG48" s="164">
        <f>IF(AND(BG47=1,SPC!AQ37&gt;SPC!AP37),BF48+BG47,0)</f>
        <v>0</v>
      </c>
      <c r="BH48" s="164">
        <f>IF(AND(BH47=1,SPC!AR37&gt;SPC!AQ37),BG48+BH47,0)</f>
        <v>1</v>
      </c>
      <c r="BI48" s="164">
        <f>IF(AND(BI47=1,SPC!AS37&gt;SPC!AR37),BH48+BI47,0)</f>
        <v>0</v>
      </c>
      <c r="BJ48" s="164">
        <f>IF(AND(BJ47=1,SPC!AT37&gt;SPC!AS37),BI48+BJ47,0)</f>
        <v>1</v>
      </c>
      <c r="BK48" s="164">
        <f>IF(AND(BK47=1,SPC!AU37&gt;SPC!AT37),BJ48+BK47,0)</f>
        <v>0</v>
      </c>
      <c r="BL48" s="164">
        <f>IF(AND(BL47=1,SPC!AV37&gt;SPC!AU37),BK48+BL47,0)</f>
        <v>1</v>
      </c>
      <c r="BM48" s="164">
        <f>IF(AND(BM47=1,SPC!AW37&gt;SPC!AV37),BL48+BM47,0)</f>
        <v>0</v>
      </c>
      <c r="BN48" s="164">
        <f>IF(AND(BN47=1,SPC!AX37&gt;SPC!AW37),BM48+BN47,0)</f>
        <v>1</v>
      </c>
      <c r="BO48" s="164">
        <f>IF(AND(BO47=1,SPC!AY37&gt;SPC!AX37),BN48+BO47,0)</f>
        <v>0</v>
      </c>
      <c r="BP48" s="164">
        <f>IF(AND(BP47=1,SPC!AZ37&gt;SPC!AY37),BO48+BP47,0)</f>
        <v>1</v>
      </c>
      <c r="BQ48" s="164">
        <f>IF(AND(BQ47=1,P42&gt;SPC!AZ37),BP48+BQ47,0)</f>
        <v>0</v>
      </c>
      <c r="BR48" s="164"/>
      <c r="BS48" s="164"/>
      <c r="BT48" s="88"/>
      <c r="BU48" s="88"/>
      <c r="BV48" s="143"/>
      <c r="BW48" s="12"/>
    </row>
    <row r="49" spans="1:75" x14ac:dyDescent="0.25">
      <c r="A49" s="140">
        <f t="shared" si="1"/>
        <v>48</v>
      </c>
      <c r="B49" s="7">
        <f>SPC!AY$37</f>
        <v>17.223772299417032</v>
      </c>
      <c r="C49" s="3">
        <f t="shared" si="2"/>
        <v>-0.84469985260820879</v>
      </c>
      <c r="D49" s="4">
        <f t="shared" si="3"/>
        <v>0.28000000000000003</v>
      </c>
      <c r="E49" s="3">
        <f t="shared" si="0"/>
        <v>0.19913922089758435</v>
      </c>
      <c r="F49" s="3">
        <f t="shared" si="4"/>
        <v>19.913922089758433</v>
      </c>
      <c r="G49" s="142"/>
      <c r="H49" s="142"/>
      <c r="I49" s="142"/>
      <c r="J49" s="142"/>
      <c r="K49" s="142"/>
      <c r="L49" s="5"/>
      <c r="M49" s="149"/>
      <c r="P49" s="68"/>
      <c r="Q49" s="168"/>
      <c r="R49" s="88"/>
      <c r="S49" s="164" t="s">
        <v>68</v>
      </c>
      <c r="T49" s="88"/>
      <c r="U49" s="164">
        <f>IF(U47=0,T49+1,0)</f>
        <v>0</v>
      </c>
      <c r="V49" s="164">
        <f>IF(AND(V47=0,SPC!E37&lt;SPC!D37),U49+1,0)</f>
        <v>1</v>
      </c>
      <c r="W49" s="164">
        <f>IF(AND(W47=0,SPC!F37&lt;SPC!E37),V49+1,0)</f>
        <v>0</v>
      </c>
      <c r="X49" s="164">
        <f>IF(AND(X47=0,SPC!G37&lt;SPC!F37),W49+1,0)</f>
        <v>1</v>
      </c>
      <c r="Y49" s="164">
        <f>IF(AND(Y47=0,SPC!H37&lt;SPC!G37),X49+1,0)</f>
        <v>0</v>
      </c>
      <c r="Z49" s="164">
        <f>IF(AND(Z47=0,SPC!I37&lt;SPC!H37),Y49+1,0)</f>
        <v>1</v>
      </c>
      <c r="AA49" s="164">
        <f>IF(AND(AA47=0,SPC!J37&lt;SPC!I37),Z49+1,0)</f>
        <v>0</v>
      </c>
      <c r="AB49" s="164">
        <f>IF(AND(AB47=0,SPC!K37&lt;SPC!J37),AA49+1,0)</f>
        <v>1</v>
      </c>
      <c r="AC49" s="164">
        <f>IF(AND(AC47=0,SPC!L37&lt;SPC!K37),AB49+1,0)</f>
        <v>0</v>
      </c>
      <c r="AD49" s="164">
        <f>IF(AND(AD47=0,SPC!M37&lt;SPC!L37),AC49+1,0)</f>
        <v>1</v>
      </c>
      <c r="AE49" s="164">
        <f>IF(AND(AE47=0,SPC!N37&lt;SPC!M37),AD49+1,0)</f>
        <v>0</v>
      </c>
      <c r="AF49" s="164">
        <f>IF(AND(AF47=0,SPC!O37&lt;SPC!N37),AE49+1,0)</f>
        <v>1</v>
      </c>
      <c r="AG49" s="164">
        <f>IF(AND(AG47=0,SPC!P37&lt;SPC!O37),AF49+1,0)</f>
        <v>0</v>
      </c>
      <c r="AH49" s="164">
        <f>IF(AND(AH47=0,SPC!Q37&lt;SPC!P37),AG49+1,0)</f>
        <v>1</v>
      </c>
      <c r="AI49" s="164">
        <f>IF(AND(AI47=0,SPC!R37&lt;SPC!Q37),AH49+1,0)</f>
        <v>0</v>
      </c>
      <c r="AJ49" s="164">
        <f>IF(AND(AJ47=0,SPC!S37&lt;SPC!R37),AI49+1,0)</f>
        <v>1</v>
      </c>
      <c r="AK49" s="164">
        <f>IF(AND(AK47=0,SPC!T37&lt;SPC!S37),AJ49+1,0)</f>
        <v>0</v>
      </c>
      <c r="AL49" s="164">
        <f>IF(AND(AL47=0,SPC!U37&lt;SPC!T37),AK49+1,0)</f>
        <v>1</v>
      </c>
      <c r="AM49" s="164">
        <f>IF(AND(AM47=0,SPC!V37&lt;SPC!U37),AL49+1,0)</f>
        <v>0</v>
      </c>
      <c r="AN49" s="164">
        <f>IF(AND(AN47=0,SPC!W37&lt;SPC!V37),AM49+1,0)</f>
        <v>1</v>
      </c>
      <c r="AO49" s="164">
        <f>IF(AND(AO47=0,SPC!X37&lt;SPC!W37),AN49+1,0)</f>
        <v>0</v>
      </c>
      <c r="AP49" s="164">
        <f>IF(AND(AP47=0,SPC!Y37&lt;SPC!X37),AO49+1,0)</f>
        <v>1</v>
      </c>
      <c r="AQ49" s="164">
        <f>IF(AND(AQ47=0,SPC!Z37&lt;SPC!Y37),AP49+1,0)</f>
        <v>0</v>
      </c>
      <c r="AR49" s="164">
        <f>IF(AND(AR47=0,SPC!AA37&lt;SPC!Z37),AQ49+1,0)</f>
        <v>1</v>
      </c>
      <c r="AS49" s="164">
        <f>IF(AND(AS47=0,SPC!AC37&lt;SPC!AA37),AR49+1,0)</f>
        <v>2</v>
      </c>
      <c r="AT49" s="164">
        <f>IF(AND(AT47=0,SPC!AD37&lt;SPC!AC37),AS49+1,0)</f>
        <v>0</v>
      </c>
      <c r="AU49" s="164">
        <f>IF(AND(AU47=0,SPC!AE37&lt;SPC!AD37),AT49+1,0)</f>
        <v>1</v>
      </c>
      <c r="AV49" s="164">
        <f>IF(AND(AV47=0,SPC!AF37&lt;SPC!AE37),AU49+1,0)</f>
        <v>0</v>
      </c>
      <c r="AW49" s="164">
        <f>IF(AND(AW47=0,SPC!AG37&lt;SPC!AF37),AV49+1,0)</f>
        <v>1</v>
      </c>
      <c r="AX49" s="164">
        <f>IF(AND(AX47=0,SPC!AH37&lt;SPC!AG37),AW49+1,0)</f>
        <v>0</v>
      </c>
      <c r="AY49" s="164">
        <f>IF(AND(AY47=0,SPC!AI37&lt;SPC!AH37),AX49+1,0)</f>
        <v>1</v>
      </c>
      <c r="AZ49" s="164">
        <f>IF(AND(AZ47=0,SPC!AJ37&lt;SPC!AI37),AY49+1,0)</f>
        <v>0</v>
      </c>
      <c r="BA49" s="164">
        <f>IF(AND(BA47=0,SPC!AK37&lt;SPC!AJ37),AZ49+1,0)</f>
        <v>1</v>
      </c>
      <c r="BB49" s="164">
        <f>IF(AND(BB47=0,SPC!AL37&lt;SPC!AK37),BA49+1,0)</f>
        <v>0</v>
      </c>
      <c r="BC49" s="164">
        <f>IF(AND(BC47=0,SPC!AM37&lt;SPC!AL37),BB49+1,0)</f>
        <v>1</v>
      </c>
      <c r="BD49" s="164">
        <f>IF(AND(BD47=0,SPC!AN37&lt;SPC!AM37),BC49+1,0)</f>
        <v>0</v>
      </c>
      <c r="BE49" s="164">
        <f>IF(AND(BE47=0,SPC!AO37&lt;SPC!AN37),BD49+1,0)</f>
        <v>1</v>
      </c>
      <c r="BF49" s="164">
        <f>IF(AND(BF47=0,SPC!AP37&lt;SPC!AO37),BE49+1,0)</f>
        <v>0</v>
      </c>
      <c r="BG49" s="164">
        <f>IF(AND(BG47=0,SPC!AQ37&lt;SPC!AP37),BF49+1,0)</f>
        <v>1</v>
      </c>
      <c r="BH49" s="164">
        <f>IF(AND(BH47=0,SPC!AR37&lt;SPC!AQ37),BG49+1,0)</f>
        <v>0</v>
      </c>
      <c r="BI49" s="164">
        <f>IF(AND(BI47=0,SPC!AS37&lt;SPC!AR37),BH49+1,0)</f>
        <v>1</v>
      </c>
      <c r="BJ49" s="164">
        <f>IF(AND(BJ47=0,SPC!AT37&lt;SPC!AS37),BI49+1,0)</f>
        <v>0</v>
      </c>
      <c r="BK49" s="164">
        <f>IF(AND(BK47=0,SPC!AU37&lt;SPC!AT37),BJ49+1,0)</f>
        <v>1</v>
      </c>
      <c r="BL49" s="164">
        <f>IF(AND(BL47=0,SPC!AV37&lt;SPC!AU37),BK49+1,0)</f>
        <v>0</v>
      </c>
      <c r="BM49" s="164">
        <f>IF(AND(BM47=0,SPC!AW37&lt;SPC!AV37),BL49+1,0)</f>
        <v>1</v>
      </c>
      <c r="BN49" s="164">
        <f>IF(AND(BN47=0,SPC!AX37&lt;SPC!AW37),BM49+1,0)</f>
        <v>0</v>
      </c>
      <c r="BO49" s="164">
        <f>IF(AND(BO47=0,SPC!AY37&lt;SPC!AX37),BN49+1,0)</f>
        <v>1</v>
      </c>
      <c r="BP49" s="164">
        <f>IF(AND(BP47=0,SPC!AZ37&lt;SPC!AY37),BO49+1,0)</f>
        <v>0</v>
      </c>
      <c r="BQ49" s="164">
        <f>IF(AND(BQ47=0,P42&lt;SPC!AZ37),BP49+1,0)</f>
        <v>1</v>
      </c>
      <c r="BR49" s="164"/>
      <c r="BS49" s="164"/>
      <c r="BT49" s="88"/>
      <c r="BU49" s="88"/>
      <c r="BV49" s="143"/>
      <c r="BW49" s="12"/>
    </row>
    <row r="50" spans="1:75" ht="15.6" x14ac:dyDescent="0.3">
      <c r="A50" s="140">
        <f t="shared" si="1"/>
        <v>49</v>
      </c>
      <c r="B50" s="7">
        <f>SPC!AZ$37</f>
        <v>17.232445480875615</v>
      </c>
      <c r="C50" s="3">
        <f t="shared" si="2"/>
        <v>0.65351435382403833</v>
      </c>
      <c r="D50" s="4">
        <f t="shared" si="3"/>
        <v>0.54</v>
      </c>
      <c r="E50" s="3">
        <f t="shared" si="0"/>
        <v>0.74328763059357206</v>
      </c>
      <c r="F50" s="3">
        <f t="shared" si="4"/>
        <v>74.3287630593572</v>
      </c>
      <c r="G50" s="142"/>
      <c r="H50" s="142"/>
      <c r="I50" s="142"/>
      <c r="J50" s="142"/>
      <c r="K50" s="142"/>
      <c r="L50" s="5"/>
      <c r="M50" s="149"/>
      <c r="P50" s="68"/>
      <c r="Q50" s="179"/>
      <c r="R50" s="88"/>
      <c r="S50" s="164" t="s">
        <v>69</v>
      </c>
      <c r="T50" s="88"/>
      <c r="U50" s="88">
        <f>MAX(U48:BQ48)+1</f>
        <v>2</v>
      </c>
      <c r="V50" s="163" t="s">
        <v>193</v>
      </c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26"/>
      <c r="AS50" s="26"/>
      <c r="AT50" s="26"/>
      <c r="AU50" s="163"/>
      <c r="AV50" s="76"/>
      <c r="AW50" s="88"/>
      <c r="AX50" s="88"/>
      <c r="AY50" s="88"/>
      <c r="AZ50" s="20"/>
      <c r="BA50" s="26"/>
      <c r="BB50" s="26"/>
      <c r="BC50" s="26"/>
      <c r="BD50" s="26"/>
      <c r="BE50" s="26"/>
      <c r="BF50" s="26"/>
      <c r="BG50" s="26"/>
      <c r="BH50" s="20"/>
      <c r="BI50" s="20"/>
      <c r="BJ50" s="20"/>
      <c r="BK50" s="20"/>
      <c r="BL50" s="88"/>
      <c r="BM50" s="88"/>
      <c r="BN50" s="88"/>
      <c r="BO50" s="88"/>
      <c r="BP50" s="88"/>
      <c r="BQ50" s="88"/>
      <c r="BR50" s="88"/>
      <c r="BS50" s="88"/>
      <c r="BT50" s="88"/>
      <c r="BU50" s="88"/>
      <c r="BV50" s="143"/>
      <c r="BW50" s="12"/>
    </row>
    <row r="51" spans="1:75" ht="15.6" x14ac:dyDescent="0.3">
      <c r="A51" s="140">
        <f t="shared" si="1"/>
        <v>50</v>
      </c>
      <c r="B51" s="7">
        <f>Formule!P$42</f>
        <v>0</v>
      </c>
      <c r="C51" s="3">
        <f t="shared" si="2"/>
        <v>-2976.096684440527</v>
      </c>
      <c r="D51" s="4">
        <f t="shared" si="3"/>
        <v>0.02</v>
      </c>
      <c r="E51" s="3">
        <f t="shared" si="0"/>
        <v>0</v>
      </c>
      <c r="F51" s="3">
        <f t="shared" si="4"/>
        <v>0</v>
      </c>
      <c r="G51" s="142"/>
      <c r="H51" s="142"/>
      <c r="I51" s="142"/>
      <c r="J51" s="142"/>
      <c r="K51" s="142"/>
      <c r="L51" s="5"/>
      <c r="M51" s="149"/>
      <c r="P51" s="68"/>
      <c r="Q51" s="179"/>
      <c r="R51" s="88"/>
      <c r="S51" s="164" t="s">
        <v>70</v>
      </c>
      <c r="T51" s="88"/>
      <c r="U51" s="88">
        <f>MAX(U49:BQ49)+1</f>
        <v>3</v>
      </c>
      <c r="V51" s="163" t="s">
        <v>194</v>
      </c>
      <c r="W51" s="88"/>
      <c r="X51" s="180"/>
      <c r="Y51" s="88"/>
      <c r="Z51" s="88"/>
      <c r="AA51" s="88"/>
      <c r="AB51" s="88"/>
      <c r="AC51" s="180"/>
      <c r="AD51" s="88"/>
      <c r="AE51" s="88"/>
      <c r="AF51" s="88"/>
      <c r="AG51" s="88"/>
      <c r="AH51" s="88"/>
      <c r="AI51" s="88"/>
      <c r="AJ51" s="88"/>
      <c r="AK51" s="88"/>
      <c r="AL51" s="88"/>
      <c r="AM51" s="88"/>
      <c r="AN51" s="88"/>
      <c r="AO51" s="88"/>
      <c r="AP51" s="88"/>
      <c r="AQ51" s="88"/>
      <c r="AR51" s="88"/>
      <c r="AS51" s="88"/>
      <c r="AT51" s="88"/>
      <c r="AU51" s="88"/>
      <c r="AV51" s="76"/>
      <c r="AW51" s="88"/>
      <c r="AX51" s="88"/>
      <c r="AY51" s="88"/>
      <c r="AZ51" s="20"/>
      <c r="BA51" s="88"/>
      <c r="BB51" s="88"/>
      <c r="BC51" s="88"/>
      <c r="BD51" s="88"/>
      <c r="BE51" s="88"/>
      <c r="BF51" s="88"/>
      <c r="BG51" s="88"/>
      <c r="BH51" s="88"/>
      <c r="BI51" s="88"/>
      <c r="BJ51" s="88"/>
      <c r="BK51" s="88"/>
      <c r="BL51" s="88"/>
      <c r="BM51" s="88"/>
      <c r="BN51" s="88"/>
      <c r="BO51" s="88"/>
      <c r="BP51" s="88"/>
      <c r="BQ51" s="88"/>
      <c r="BR51" s="88"/>
      <c r="BS51" s="88"/>
      <c r="BT51" s="88"/>
      <c r="BU51" s="88"/>
      <c r="BV51" s="143"/>
      <c r="BW51" s="12"/>
    </row>
    <row r="52" spans="1:75" x14ac:dyDescent="0.25">
      <c r="A52" s="140"/>
      <c r="B52" s="141"/>
      <c r="C52" s="142"/>
      <c r="D52" s="142"/>
      <c r="E52" s="142"/>
      <c r="F52" s="142"/>
      <c r="G52" s="142"/>
      <c r="H52" s="142"/>
      <c r="I52" s="142"/>
      <c r="J52" s="142"/>
      <c r="K52" s="142"/>
      <c r="L52" s="5"/>
      <c r="M52" s="149"/>
      <c r="P52" s="68"/>
      <c r="Q52" s="168"/>
      <c r="R52" s="88"/>
      <c r="S52" s="164" t="s">
        <v>71</v>
      </c>
      <c r="T52" s="88"/>
      <c r="U52" s="164">
        <f ca="1">COUNTIF($U$48:$BQ$48,"="&amp;INDIRECT(V50)-1)</f>
        <v>25</v>
      </c>
      <c r="V52" s="88"/>
      <c r="W52" s="88"/>
      <c r="X52" s="88"/>
      <c r="Y52" s="88"/>
      <c r="Z52" s="88"/>
      <c r="AA52" s="88"/>
      <c r="AB52" s="88"/>
      <c r="AC52" s="88"/>
      <c r="AD52" s="88"/>
      <c r="AE52" s="88"/>
      <c r="AF52" s="88"/>
      <c r="AG52" s="88"/>
      <c r="AH52" s="88"/>
      <c r="AI52" s="88"/>
      <c r="AJ52" s="88"/>
      <c r="AK52" s="88"/>
      <c r="AL52" s="88"/>
      <c r="AM52" s="88"/>
      <c r="AN52" s="88"/>
      <c r="AO52" s="88"/>
      <c r="AP52" s="88"/>
      <c r="AQ52" s="88"/>
      <c r="AR52" s="88"/>
      <c r="AS52" s="88"/>
      <c r="AT52" s="88"/>
      <c r="AU52" s="163"/>
      <c r="AV52" s="76"/>
      <c r="AW52" s="88"/>
      <c r="AX52" s="88"/>
      <c r="AY52" s="88"/>
      <c r="AZ52" s="20"/>
      <c r="BA52" s="88"/>
      <c r="BB52" s="88"/>
      <c r="BC52" s="88"/>
      <c r="BD52" s="88"/>
      <c r="BE52" s="88"/>
      <c r="BF52" s="88"/>
      <c r="BG52" s="88"/>
      <c r="BH52" s="88"/>
      <c r="BI52" s="88"/>
      <c r="BJ52" s="88"/>
      <c r="BK52" s="88"/>
      <c r="BL52" s="88"/>
      <c r="BM52" s="88"/>
      <c r="BN52" s="88"/>
      <c r="BO52" s="88"/>
      <c r="BP52" s="88"/>
      <c r="BQ52" s="88"/>
      <c r="BR52" s="88"/>
      <c r="BS52" s="88"/>
      <c r="BT52" s="88"/>
      <c r="BU52" s="88"/>
      <c r="BV52" s="143"/>
      <c r="BW52" s="12"/>
    </row>
    <row r="53" spans="1:75" x14ac:dyDescent="0.25">
      <c r="A53" s="140"/>
      <c r="B53" s="141"/>
      <c r="C53" s="142"/>
      <c r="D53" s="142"/>
      <c r="E53" s="142"/>
      <c r="F53" s="142"/>
      <c r="G53" s="142"/>
      <c r="H53" s="142"/>
      <c r="I53" s="142"/>
      <c r="J53" s="142"/>
      <c r="K53" s="142"/>
      <c r="L53" s="5"/>
      <c r="M53" s="149"/>
      <c r="P53" s="68"/>
      <c r="Q53" s="168"/>
      <c r="R53" s="88"/>
      <c r="S53" s="164" t="s">
        <v>72</v>
      </c>
      <c r="T53" s="88"/>
      <c r="U53" s="164">
        <f ca="1">COUNTIF($U$49:$BQ$49,"="&amp;INDIRECT(V51)-1)</f>
        <v>0</v>
      </c>
      <c r="V53" s="88"/>
      <c r="W53" s="88"/>
      <c r="X53" s="88"/>
      <c r="Y53" s="88"/>
      <c r="Z53" s="88"/>
      <c r="AA53" s="88"/>
      <c r="AB53" s="88"/>
      <c r="AC53" s="88"/>
      <c r="AD53" s="88"/>
      <c r="AE53" s="88"/>
      <c r="AF53" s="88"/>
      <c r="AG53" s="88"/>
      <c r="AH53" s="88"/>
      <c r="AI53" s="88"/>
      <c r="AJ53" s="88"/>
      <c r="AK53" s="88"/>
      <c r="AL53" s="88"/>
      <c r="AM53" s="88"/>
      <c r="AN53" s="88"/>
      <c r="AO53" s="88"/>
      <c r="AP53" s="88"/>
      <c r="AQ53" s="88"/>
      <c r="AR53" s="88"/>
      <c r="AS53" s="88"/>
      <c r="AT53" s="88"/>
      <c r="AU53" s="88"/>
      <c r="AV53" s="88"/>
      <c r="AW53" s="88"/>
      <c r="AX53" s="88"/>
      <c r="AY53" s="88"/>
      <c r="AZ53" s="20"/>
      <c r="BA53" s="88"/>
      <c r="BB53" s="88"/>
      <c r="BC53" s="88"/>
      <c r="BD53" s="88"/>
      <c r="BE53" s="88"/>
      <c r="BF53" s="88"/>
      <c r="BG53" s="88"/>
      <c r="BH53" s="88"/>
      <c r="BI53" s="88"/>
      <c r="BJ53" s="88"/>
      <c r="BK53" s="88"/>
      <c r="BL53" s="88"/>
      <c r="BM53" s="88"/>
      <c r="BN53" s="88"/>
      <c r="BO53" s="88"/>
      <c r="BP53" s="88"/>
      <c r="BQ53" s="88"/>
      <c r="BR53" s="88"/>
      <c r="BS53" s="88"/>
      <c r="BT53" s="88"/>
      <c r="BU53" s="88"/>
      <c r="BV53" s="143"/>
      <c r="BW53" s="12"/>
    </row>
    <row r="54" spans="1:75" x14ac:dyDescent="0.25">
      <c r="A54" s="140"/>
      <c r="B54" s="141"/>
      <c r="C54" s="142"/>
      <c r="D54" s="142"/>
      <c r="E54" s="142"/>
      <c r="F54" s="142"/>
      <c r="G54" s="142"/>
      <c r="H54" s="142"/>
      <c r="I54" s="142"/>
      <c r="J54" s="142"/>
      <c r="K54" s="142"/>
      <c r="L54" s="5"/>
      <c r="M54" s="149"/>
      <c r="P54" s="68"/>
      <c r="Q54" s="168"/>
      <c r="R54" s="88"/>
      <c r="S54" s="164" t="s">
        <v>73</v>
      </c>
      <c r="T54" s="88"/>
      <c r="U54" s="164">
        <f>IF(SPC!D38&gt;SPC!C38,1,0)</f>
        <v>0</v>
      </c>
      <c r="V54" s="164">
        <f>IF(SPC!E38&gt;SPC!D38,1,0)</f>
        <v>0</v>
      </c>
      <c r="W54" s="164">
        <f>IF(SPC!F38&gt;SPC!E38,1,0)</f>
        <v>1</v>
      </c>
      <c r="X54" s="164">
        <f>IF(SPC!G38&gt;SPC!F38,1,0)</f>
        <v>1</v>
      </c>
      <c r="Y54" s="164">
        <f>IF(SPC!H38&gt;SPC!G38,1,0)</f>
        <v>0</v>
      </c>
      <c r="Z54" s="164">
        <f>IF(SPC!I38&gt;SPC!H38,1,0)</f>
        <v>0</v>
      </c>
      <c r="AA54" s="164">
        <f>IF(SPC!J38&gt;SPC!I38,1,0)</f>
        <v>1</v>
      </c>
      <c r="AB54" s="164">
        <f>IF(SPC!K38&gt;SPC!J38,1,0)</f>
        <v>1</v>
      </c>
      <c r="AC54" s="164">
        <f>IF(SPC!L38&gt;SPC!K38,1,0)</f>
        <v>0</v>
      </c>
      <c r="AD54" s="164">
        <f>IF(SPC!M38&gt;SPC!L38,1,0)</f>
        <v>0</v>
      </c>
      <c r="AE54" s="164">
        <f>IF(SPC!N38&gt;SPC!M38,1,0)</f>
        <v>1</v>
      </c>
      <c r="AF54" s="164">
        <f>IF(SPC!O38&gt;SPC!N38,1,0)</f>
        <v>1</v>
      </c>
      <c r="AG54" s="164">
        <f>IF(SPC!P38&gt;SPC!O38,1,0)</f>
        <v>0</v>
      </c>
      <c r="AH54" s="164">
        <f>IF(SPC!Q38&gt;SPC!P38,1,0)</f>
        <v>0</v>
      </c>
      <c r="AI54" s="164">
        <f>IF(SPC!R38&gt;SPC!Q38,1,0)</f>
        <v>1</v>
      </c>
      <c r="AJ54" s="164">
        <f>IF(SPC!S38&gt;SPC!R38,1,0)</f>
        <v>1</v>
      </c>
      <c r="AK54" s="164">
        <f>IF(SPC!T38&gt;SPC!S38,1,0)</f>
        <v>0</v>
      </c>
      <c r="AL54" s="164">
        <f>IF(SPC!U38&gt;SPC!T38,1,0)</f>
        <v>0</v>
      </c>
      <c r="AM54" s="164">
        <f>IF(SPC!V38&gt;SPC!U38,1,0)</f>
        <v>1</v>
      </c>
      <c r="AN54" s="164">
        <f>IF(SPC!W38&gt;SPC!V38,1,0)</f>
        <v>1</v>
      </c>
      <c r="AO54" s="164">
        <f>IF(SPC!X38&gt;SPC!W38,1,0)</f>
        <v>0</v>
      </c>
      <c r="AP54" s="164">
        <f>IF(SPC!Y38&gt;SPC!X38,1,0)</f>
        <v>0</v>
      </c>
      <c r="AQ54" s="164">
        <f>IF(SPC!Z38&gt;SPC!Y38,1,0)</f>
        <v>1</v>
      </c>
      <c r="AR54" s="164">
        <f>IF(SPC!AA38&gt;SPC!Z38,1,0)</f>
        <v>1</v>
      </c>
      <c r="AS54" s="164">
        <f>IF(SPC!AC38&gt;SPC!AA38,1,0)</f>
        <v>0</v>
      </c>
      <c r="AT54" s="164">
        <f>IF(SPC!AD38&gt;SPC!AC38,1,0)</f>
        <v>1</v>
      </c>
      <c r="AU54" s="164">
        <f>IF(SPC!AE38&gt;SPC!AD38,1,0)</f>
        <v>1</v>
      </c>
      <c r="AV54" s="164">
        <f>IF(SPC!AF38&gt;SPC!AE38,1,0)</f>
        <v>0</v>
      </c>
      <c r="AW54" s="164">
        <f>IF(SPC!AG38&gt;SPC!AF38,1,0)</f>
        <v>0</v>
      </c>
      <c r="AX54" s="164">
        <f>IF(SPC!AH38&gt;SPC!AG38,1,0)</f>
        <v>1</v>
      </c>
      <c r="AY54" s="164">
        <f>IF(SPC!AI38&gt;SPC!AH38,1,0)</f>
        <v>1</v>
      </c>
      <c r="AZ54" s="164">
        <f>IF(SPC!AJ38&gt;SPC!AI38,1,0)</f>
        <v>0</v>
      </c>
      <c r="BA54" s="164">
        <f>IF(SPC!AK38&gt;SPC!AJ38,1,0)</f>
        <v>0</v>
      </c>
      <c r="BB54" s="164">
        <f>IF(SPC!AL38&gt;SPC!AK38,1,0)</f>
        <v>1</v>
      </c>
      <c r="BC54" s="164">
        <f>IF(SPC!AM38&gt;SPC!AL38,1,0)</f>
        <v>1</v>
      </c>
      <c r="BD54" s="164">
        <f>IF(SPC!AN38&gt;SPC!AM38,1,0)</f>
        <v>0</v>
      </c>
      <c r="BE54" s="164">
        <f>IF(SPC!AO38&gt;SPC!AN38,1,0)</f>
        <v>0</v>
      </c>
      <c r="BF54" s="164">
        <f>IF(SPC!AP38&gt;SPC!AO38,1,0)</f>
        <v>1</v>
      </c>
      <c r="BG54" s="164">
        <f>IF(SPC!AQ38&gt;SPC!AP38,1,0)</f>
        <v>1</v>
      </c>
      <c r="BH54" s="164">
        <f>IF(SPC!AR38&gt;SPC!AQ38,1,0)</f>
        <v>0</v>
      </c>
      <c r="BI54" s="164">
        <f>IF(SPC!AS38&gt;SPC!AR38,1,0)</f>
        <v>0</v>
      </c>
      <c r="BJ54" s="164">
        <f>IF(SPC!AT38&gt;SPC!AS38,1,0)</f>
        <v>1</v>
      </c>
      <c r="BK54" s="164">
        <f>IF(SPC!AU38&gt;SPC!AT38,1,0)</f>
        <v>1</v>
      </c>
      <c r="BL54" s="164">
        <f>IF(SPC!AV38&gt;SPC!AU38,1,0)</f>
        <v>0</v>
      </c>
      <c r="BM54" s="164">
        <f>IF(SPC!AW38&gt;SPC!AV38,1,0)</f>
        <v>0</v>
      </c>
      <c r="BN54" s="164">
        <f>IF(SPC!AX38&gt;SPC!AW38,1,0)</f>
        <v>1</v>
      </c>
      <c r="BO54" s="164">
        <f>IF(SPC!AY38&gt;SPC!AX38,1,0)</f>
        <v>1</v>
      </c>
      <c r="BP54" s="164">
        <f>IF(SPC!AZ38&gt;SPC!AY38,1,0)</f>
        <v>0</v>
      </c>
      <c r="BQ54" s="164">
        <f>IF(P43&gt;SPC!AZ38,1,0)</f>
        <v>0</v>
      </c>
      <c r="BR54" s="88"/>
      <c r="BS54" s="88"/>
      <c r="BT54" s="88"/>
      <c r="BU54" s="88"/>
      <c r="BV54" s="143"/>
      <c r="BW54" s="12"/>
    </row>
    <row r="55" spans="1:75" x14ac:dyDescent="0.25">
      <c r="A55" s="140"/>
      <c r="B55" s="141"/>
      <c r="C55" s="142"/>
      <c r="D55" s="142"/>
      <c r="E55" s="142"/>
      <c r="F55" s="142"/>
      <c r="G55" s="142"/>
      <c r="H55" s="142"/>
      <c r="I55" s="142"/>
      <c r="J55" s="142"/>
      <c r="K55" s="142"/>
      <c r="L55" s="5"/>
      <c r="M55" s="149"/>
      <c r="P55" s="68"/>
      <c r="Q55" s="168"/>
      <c r="R55" s="88"/>
      <c r="S55" s="164" t="s">
        <v>74</v>
      </c>
      <c r="T55" s="88"/>
      <c r="U55" s="164">
        <f>IF(U54=1,T55+U54,0)</f>
        <v>0</v>
      </c>
      <c r="V55" s="164">
        <f>IF(AND(V54=1,SPC!E38&gt;SPC!D38),U55+V54,0)</f>
        <v>0</v>
      </c>
      <c r="W55" s="164">
        <f>IF(AND(W54=1,SPC!F38&gt;SPC!E38),V55+W54,0)</f>
        <v>1</v>
      </c>
      <c r="X55" s="164">
        <f>IF(AND(X54=1,SPC!G38&gt;SPC!F38),W55+X54,0)</f>
        <v>2</v>
      </c>
      <c r="Y55" s="164">
        <f>IF(AND(Y54=1,SPC!H38&gt;SPC!G38),X55+Y54,0)</f>
        <v>0</v>
      </c>
      <c r="Z55" s="164">
        <f>IF(AND(Z54=1,SPC!I38&gt;SPC!H38),Y55+Z54,0)</f>
        <v>0</v>
      </c>
      <c r="AA55" s="164">
        <f>IF(AND(AA54=1,SPC!J38&gt;SPC!I38),Z55+AA54,0)</f>
        <v>1</v>
      </c>
      <c r="AB55" s="164">
        <f>IF(AND(AB54=1,SPC!K38&gt;SPC!J38),AA55+AB54,0)</f>
        <v>2</v>
      </c>
      <c r="AC55" s="164">
        <f>IF(AND(AC54=1,SPC!L38&gt;SPC!K38),AB55+AC54,0)</f>
        <v>0</v>
      </c>
      <c r="AD55" s="164">
        <f>IF(AND(AD54=1,SPC!M38&gt;SPC!L38),AC55+AD54,0)</f>
        <v>0</v>
      </c>
      <c r="AE55" s="164">
        <f>IF(AND(AE54=1,SPC!N38&gt;SPC!M38),AD55+AE54,0)</f>
        <v>1</v>
      </c>
      <c r="AF55" s="164">
        <f>IF(AND(AF54=1,SPC!O38&gt;SPC!N38),AE55+AF54,0)</f>
        <v>2</v>
      </c>
      <c r="AG55" s="164">
        <f>IF(AND(AG54=1,SPC!P38&gt;SPC!O38),AF55+AG54,0)</f>
        <v>0</v>
      </c>
      <c r="AH55" s="164">
        <f>IF(AND(AH54=1,SPC!Q38&gt;SPC!P38),AG55+AH54,0)</f>
        <v>0</v>
      </c>
      <c r="AI55" s="164">
        <f>IF(AND(AI54=1,SPC!R38&gt;SPC!Q38),AH55+AI54,0)</f>
        <v>1</v>
      </c>
      <c r="AJ55" s="164">
        <f>IF(AND(AJ54=1,SPC!S38&gt;SPC!R38),AI55+AJ54,0)</f>
        <v>2</v>
      </c>
      <c r="AK55" s="164">
        <f>IF(AND(AK54=1,SPC!T38&gt;SPC!S38),AJ55+AK54,0)</f>
        <v>0</v>
      </c>
      <c r="AL55" s="164">
        <f>IF(AND(AL54=1,SPC!U38&gt;SPC!T38),AK55+AL54,0)</f>
        <v>0</v>
      </c>
      <c r="AM55" s="164">
        <f>IF(AND(AM54=1,SPC!V38&gt;SPC!U38),AL55+AM54,0)</f>
        <v>1</v>
      </c>
      <c r="AN55" s="164">
        <f>IF(AND(AN54=1,SPC!W38&gt;SPC!V38),AM55+AN54,0)</f>
        <v>2</v>
      </c>
      <c r="AO55" s="164">
        <f>IF(AND(AO54=1,SPC!X38&gt;SPC!W38),AN55+AO54,0)</f>
        <v>0</v>
      </c>
      <c r="AP55" s="164">
        <f>IF(AND(AP54=1,SPC!Y38&gt;SPC!X38),AO55+AP54,0)</f>
        <v>0</v>
      </c>
      <c r="AQ55" s="164">
        <f>IF(AND(AQ54=1,SPC!Z38&gt;SPC!Y38),AP55+AQ54,0)</f>
        <v>1</v>
      </c>
      <c r="AR55" s="164">
        <f>IF(AND(AR54=1,SPC!AA38&gt;SPC!Z38),AQ55+AR54,0)</f>
        <v>2</v>
      </c>
      <c r="AS55" s="164">
        <f>IF(AND(AS54=1,SPC!AC38&gt;SPC!AA38),AR55+AS54,0)</f>
        <v>0</v>
      </c>
      <c r="AT55" s="164">
        <f>IF(AND(AT54=1,SPC!AD38&gt;SPC!AC38),AS55+AT54,0)</f>
        <v>1</v>
      </c>
      <c r="AU55" s="164">
        <f>IF(AND(AU54=1,SPC!AE38&gt;SPC!AD38),AT55+AU54,0)</f>
        <v>2</v>
      </c>
      <c r="AV55" s="164">
        <f>IF(AND(AV54=1,SPC!AF38&gt;SPC!AE38),AU55+AV54,0)</f>
        <v>0</v>
      </c>
      <c r="AW55" s="164">
        <f>IF(AND(AW54=1,SPC!AG38&gt;SPC!AF38),AV55+AW54,0)</f>
        <v>0</v>
      </c>
      <c r="AX55" s="164">
        <f>IF(AND(AX54=1,SPC!AH38&gt;SPC!AG38),AW55+AX54,0)</f>
        <v>1</v>
      </c>
      <c r="AY55" s="164">
        <f>IF(AND(AY54=1,SPC!AI38&gt;SPC!AH38),AX55+AY54,0)</f>
        <v>2</v>
      </c>
      <c r="AZ55" s="164">
        <f>IF(AND(AZ54=1,SPC!AJ38&gt;SPC!AI38),AY55+AZ54,0)</f>
        <v>0</v>
      </c>
      <c r="BA55" s="164">
        <f>IF(AND(BA54=1,SPC!AK38&gt;SPC!AJ38),AZ55+BA54,0)</f>
        <v>0</v>
      </c>
      <c r="BB55" s="164">
        <f>IF(AND(BB54=1,SPC!AL38&gt;SPC!AK38),BA55+BB54,0)</f>
        <v>1</v>
      </c>
      <c r="BC55" s="164">
        <f>IF(AND(BC54=1,SPC!AM38&gt;SPC!AL38),BB55+BC54,0)</f>
        <v>2</v>
      </c>
      <c r="BD55" s="164">
        <f>IF(AND(BD54=1,SPC!AN38&gt;SPC!AM38),BC55+BD54,0)</f>
        <v>0</v>
      </c>
      <c r="BE55" s="164">
        <f>IF(AND(BE54=1,SPC!AO38&gt;SPC!AN38),BD55+BE54,0)</f>
        <v>0</v>
      </c>
      <c r="BF55" s="164">
        <f>IF(AND(BF54=1,SPC!AP38&gt;SPC!AO38),BE55+BF54,0)</f>
        <v>1</v>
      </c>
      <c r="BG55" s="164">
        <f>IF(AND(BG54=1,SPC!AQ38&gt;SPC!AP38),BF55+BG54,0)</f>
        <v>2</v>
      </c>
      <c r="BH55" s="164">
        <f>IF(AND(BH54=1,SPC!AR38&gt;SPC!AQ38),BG55+BH54,0)</f>
        <v>0</v>
      </c>
      <c r="BI55" s="164">
        <f>IF(AND(BI54=1,SPC!AS38&gt;SPC!AR38),BH55+BI54,0)</f>
        <v>0</v>
      </c>
      <c r="BJ55" s="164">
        <f>IF(AND(BJ54=1,SPC!AT38&gt;SPC!AS38),BI55+BJ54,0)</f>
        <v>1</v>
      </c>
      <c r="BK55" s="164">
        <f>IF(AND(BK54=1,SPC!AU38&gt;SPC!AT38),BJ55+BK54,0)</f>
        <v>2</v>
      </c>
      <c r="BL55" s="164">
        <f>IF(AND(BL54=1,SPC!AV38&gt;SPC!AU38),BK55+BL54,0)</f>
        <v>0</v>
      </c>
      <c r="BM55" s="164">
        <f>IF(AND(BM54=1,SPC!AW38&gt;SPC!AV38),BL55+BM54,0)</f>
        <v>0</v>
      </c>
      <c r="BN55" s="164">
        <f>IF(AND(BN54=1,SPC!AX38&gt;SPC!AW38),BM55+BN54,0)</f>
        <v>1</v>
      </c>
      <c r="BO55" s="164">
        <f>IF(AND(BO54=1,SPC!AY38&gt;SPC!AX38),BN55+BO54,0)</f>
        <v>2</v>
      </c>
      <c r="BP55" s="164">
        <f>IF(AND(BP54=1,SPC!AZ38&gt;SPC!AY38),BO55+BP54,0)</f>
        <v>0</v>
      </c>
      <c r="BQ55" s="164">
        <f>IF(AND(BQ54=1,P43&gt;SPC!AZ38),BP55+BQ54,0)</f>
        <v>0</v>
      </c>
      <c r="BR55" s="88"/>
      <c r="BS55" s="88"/>
      <c r="BT55" s="88"/>
      <c r="BU55" s="88"/>
      <c r="BV55" s="143"/>
      <c r="BW55" s="12"/>
    </row>
    <row r="56" spans="1:75" x14ac:dyDescent="0.25">
      <c r="A56" s="140"/>
      <c r="B56" s="141"/>
      <c r="C56" s="142"/>
      <c r="D56" s="142"/>
      <c r="E56" s="142"/>
      <c r="F56" s="142"/>
      <c r="G56" s="142"/>
      <c r="H56" s="142"/>
      <c r="I56" s="142"/>
      <c r="J56" s="142"/>
      <c r="K56" s="142"/>
      <c r="L56" s="5"/>
      <c r="M56" s="149"/>
      <c r="P56" s="68"/>
      <c r="Q56" s="168"/>
      <c r="R56" s="88"/>
      <c r="S56" s="164" t="s">
        <v>75</v>
      </c>
      <c r="T56" s="88"/>
      <c r="U56" s="164">
        <f>IF(U54=0,T56+1,0)</f>
        <v>1</v>
      </c>
      <c r="V56" s="164">
        <f>IF(AND(V54=0,SPC!E38&lt;SPC!D38),U56+1,0)</f>
        <v>2</v>
      </c>
      <c r="W56" s="164">
        <f>IF(AND(W54=0,SPC!F38&lt;SPC!E38),V56+1,0)</f>
        <v>0</v>
      </c>
      <c r="X56" s="164">
        <f>IF(AND(X54=0,SPC!G38&lt;SPC!F38),W56+1,0)</f>
        <v>0</v>
      </c>
      <c r="Y56" s="164">
        <f>IF(AND(Y54=0,SPC!H38&lt;SPC!G38),X56+1,0)</f>
        <v>1</v>
      </c>
      <c r="Z56" s="164">
        <f>IF(AND(Z54=0,SPC!I38&lt;SPC!H38),Y56+1,0)</f>
        <v>2</v>
      </c>
      <c r="AA56" s="164">
        <f>IF(AND(AA54=0,SPC!J38&lt;SPC!I38),Z56+1,0)</f>
        <v>0</v>
      </c>
      <c r="AB56" s="164">
        <f>IF(AND(AB54=0,SPC!K38&lt;SPC!J38),AA56+1,0)</f>
        <v>0</v>
      </c>
      <c r="AC56" s="164">
        <f>IF(AND(AC54=0,SPC!L38&lt;SPC!K38),AB56+1,0)</f>
        <v>1</v>
      </c>
      <c r="AD56" s="164">
        <f>IF(AND(AD54=0,SPC!M38&lt;SPC!L38),AC56+1,0)</f>
        <v>2</v>
      </c>
      <c r="AE56" s="164">
        <f>IF(AND(AE54=0,SPC!N38&lt;SPC!M38),AD56+1,0)</f>
        <v>0</v>
      </c>
      <c r="AF56" s="164">
        <f>IF(AND(AF54=0,SPC!O38&lt;SPC!N38),AE56+1,0)</f>
        <v>0</v>
      </c>
      <c r="AG56" s="164">
        <f>IF(AND(AG54=0,SPC!P38&lt;SPC!O38),AF56+1,0)</f>
        <v>1</v>
      </c>
      <c r="AH56" s="164">
        <f>IF(AND(AH54=0,SPC!Q38&lt;SPC!P38),AG56+1,0)</f>
        <v>2</v>
      </c>
      <c r="AI56" s="164">
        <f>IF(AND(AI54=0,SPC!R38&lt;SPC!Q38),AH56+1,0)</f>
        <v>0</v>
      </c>
      <c r="AJ56" s="164">
        <f>IF(AND(AJ54=0,SPC!S38&lt;SPC!R38),AI56+1,0)</f>
        <v>0</v>
      </c>
      <c r="AK56" s="164">
        <f>IF(AND(AK54=0,SPC!T38&lt;SPC!S38),AJ56+1,0)</f>
        <v>1</v>
      </c>
      <c r="AL56" s="164">
        <f>IF(AND(AL54=0,SPC!U38&lt;SPC!T38),AK56+1,0)</f>
        <v>2</v>
      </c>
      <c r="AM56" s="164">
        <f>IF(AND(AM54=0,SPC!V38&lt;SPC!U38),AL56+1,0)</f>
        <v>0</v>
      </c>
      <c r="AN56" s="164">
        <f>IF(AND(AN54=0,SPC!W38&lt;SPC!V38),AM56+1,0)</f>
        <v>0</v>
      </c>
      <c r="AO56" s="164">
        <f>IF(AND(AO54=0,SPC!X38&lt;SPC!W38),AN56+1,0)</f>
        <v>1</v>
      </c>
      <c r="AP56" s="164">
        <f>IF(AND(AP54=0,SPC!Y38&lt;SPC!X38),AO56+1,0)</f>
        <v>2</v>
      </c>
      <c r="AQ56" s="164">
        <f>IF(AND(AQ54=0,SPC!Z38&lt;SPC!Y38),AP56+1,0)</f>
        <v>0</v>
      </c>
      <c r="AR56" s="164">
        <f>IF(AND(AR54=0,SPC!AA38&lt;SPC!Z38),AQ56+1,0)</f>
        <v>0</v>
      </c>
      <c r="AS56" s="164">
        <f>IF(AND(AS54=0,SPC!AC38&lt;SPC!AA38),AR56+1,0)</f>
        <v>1</v>
      </c>
      <c r="AT56" s="164">
        <f>IF(AND(AT54=0,SPC!AD38&lt;SPC!AC38),AS56+1,0)</f>
        <v>0</v>
      </c>
      <c r="AU56" s="164">
        <f>IF(AND(AU54=0,SPC!AE38&lt;SPC!AD38),AT56+1,0)</f>
        <v>0</v>
      </c>
      <c r="AV56" s="164">
        <f>IF(AND(AV54=0,SPC!AF38&lt;SPC!AE38),AU56+1,0)</f>
        <v>1</v>
      </c>
      <c r="AW56" s="164">
        <f>IF(AND(AW54=0,SPC!AG38&lt;SPC!AF38),AV56+1,0)</f>
        <v>2</v>
      </c>
      <c r="AX56" s="164">
        <f>IF(AND(AX54=0,SPC!AH38&lt;SPC!AG38),AW56+1,0)</f>
        <v>0</v>
      </c>
      <c r="AY56" s="164">
        <f>IF(AND(AY54=0,SPC!AI38&lt;SPC!AH38),AX56+1,0)</f>
        <v>0</v>
      </c>
      <c r="AZ56" s="164">
        <f>IF(AND(AZ54=0,SPC!AJ38&lt;SPC!AI38),AY56+1,0)</f>
        <v>1</v>
      </c>
      <c r="BA56" s="164">
        <f>IF(AND(BA54=0,SPC!AK38&lt;SPC!AJ38),AZ56+1,0)</f>
        <v>2</v>
      </c>
      <c r="BB56" s="164">
        <f>IF(AND(BB54=0,SPC!AL38&lt;SPC!AK38),BA56+1,0)</f>
        <v>0</v>
      </c>
      <c r="BC56" s="164">
        <f>IF(AND(BC54=0,SPC!AM38&lt;SPC!AL38),BB56+1,0)</f>
        <v>0</v>
      </c>
      <c r="BD56" s="164">
        <f>IF(AND(BD54=0,SPC!AN38&lt;SPC!AM38),BC56+1,0)</f>
        <v>1</v>
      </c>
      <c r="BE56" s="164">
        <f>IF(AND(BE54=0,SPC!AO38&lt;SPC!AN38),BD56+1,0)</f>
        <v>2</v>
      </c>
      <c r="BF56" s="164">
        <f>IF(AND(BF54=0,SPC!AP38&lt;SPC!AO38),BE56+1,0)</f>
        <v>0</v>
      </c>
      <c r="BG56" s="164">
        <f>IF(AND(BG54=0,SPC!AQ38&lt;SPC!AP38),BF56+1,0)</f>
        <v>0</v>
      </c>
      <c r="BH56" s="164">
        <f>IF(AND(BH54=0,SPC!AR38&lt;SPC!AQ38),BG56+1,0)</f>
        <v>1</v>
      </c>
      <c r="BI56" s="164">
        <f>IF(AND(BI54=0,SPC!AS38&lt;SPC!AR38),BH56+1,0)</f>
        <v>2</v>
      </c>
      <c r="BJ56" s="164">
        <f>IF(AND(BJ54=0,SPC!AT38&lt;SPC!AS38),BI56+1,0)</f>
        <v>0</v>
      </c>
      <c r="BK56" s="164">
        <f>IF(AND(BK54=0,SPC!AU38&lt;SPC!AT38),BJ56+1,0)</f>
        <v>0</v>
      </c>
      <c r="BL56" s="164">
        <f>IF(AND(BL54=0,SPC!AV38&lt;SPC!AU38),BK56+1,0)</f>
        <v>1</v>
      </c>
      <c r="BM56" s="164">
        <f>IF(AND(BM54=0,SPC!AW38&lt;SPC!AV38),BL56+1,0)</f>
        <v>2</v>
      </c>
      <c r="BN56" s="164">
        <f>IF(AND(BN54=0,SPC!AX38&lt;SPC!AW38),BM56+1,0)</f>
        <v>0</v>
      </c>
      <c r="BO56" s="164">
        <f>IF(AND(BO54=0,SPC!AY38&lt;SPC!AX38),BN56+1,0)</f>
        <v>0</v>
      </c>
      <c r="BP56" s="164">
        <f>IF(AND(BP54=0,SPC!AZ38&lt;SPC!AY38),BO56+1,0)</f>
        <v>1</v>
      </c>
      <c r="BQ56" s="164">
        <f>IF(AND(BQ54=0,P43&lt;SPC!AZ38),BP56+1,0)</f>
        <v>2</v>
      </c>
      <c r="BR56" s="88"/>
      <c r="BS56" s="88"/>
      <c r="BT56" s="88"/>
      <c r="BU56" s="88"/>
      <c r="BV56" s="143"/>
      <c r="BW56" s="12"/>
    </row>
    <row r="57" spans="1:75" x14ac:dyDescent="0.25">
      <c r="A57" s="140"/>
      <c r="B57" s="141"/>
      <c r="C57" s="142"/>
      <c r="D57" s="142"/>
      <c r="E57" s="142"/>
      <c r="F57" s="142"/>
      <c r="G57" s="142"/>
      <c r="H57" s="142"/>
      <c r="I57" s="142"/>
      <c r="J57" s="142"/>
      <c r="K57" s="142"/>
      <c r="L57" s="5"/>
      <c r="M57" s="149"/>
      <c r="P57" s="68"/>
      <c r="Q57" s="168"/>
      <c r="R57" s="88"/>
      <c r="S57" s="164" t="s">
        <v>76</v>
      </c>
      <c r="T57" s="88"/>
      <c r="U57" s="164">
        <f>MAX(U55:BQ55)+1</f>
        <v>3</v>
      </c>
      <c r="V57" s="163" t="s">
        <v>195</v>
      </c>
      <c r="W57" s="88"/>
      <c r="X57" s="88"/>
      <c r="Y57" s="88"/>
      <c r="Z57" s="88"/>
      <c r="AA57" s="88"/>
      <c r="AB57" s="88"/>
      <c r="AC57" s="88"/>
      <c r="AD57" s="88"/>
      <c r="AE57" s="88"/>
      <c r="AF57" s="88"/>
      <c r="AG57" s="88"/>
      <c r="AH57" s="88"/>
      <c r="AI57" s="88"/>
      <c r="AJ57" s="88"/>
      <c r="AK57" s="88"/>
      <c r="AL57" s="88"/>
      <c r="AM57" s="88"/>
      <c r="AN57" s="88"/>
      <c r="AO57" s="88"/>
      <c r="AP57" s="88"/>
      <c r="AQ57" s="88"/>
      <c r="AR57" s="88"/>
      <c r="AS57" s="88"/>
      <c r="AT57" s="88"/>
      <c r="AU57" s="181"/>
      <c r="AV57" s="88"/>
      <c r="AW57" s="88"/>
      <c r="AX57" s="181"/>
      <c r="AY57" s="88"/>
      <c r="AZ57" s="88"/>
      <c r="BA57" s="88"/>
      <c r="BB57" s="88"/>
      <c r="BC57" s="88"/>
      <c r="BD57" s="88"/>
      <c r="BE57" s="88"/>
      <c r="BF57" s="88"/>
      <c r="BG57" s="88"/>
      <c r="BH57" s="88"/>
      <c r="BI57" s="88"/>
      <c r="BJ57" s="88"/>
      <c r="BK57" s="88"/>
      <c r="BL57" s="88"/>
      <c r="BM57" s="88"/>
      <c r="BN57" s="88"/>
      <c r="BO57" s="88"/>
      <c r="BP57" s="88"/>
      <c r="BQ57" s="88"/>
      <c r="BR57" s="88"/>
      <c r="BS57" s="88"/>
      <c r="BT57" s="88"/>
      <c r="BU57" s="88"/>
      <c r="BV57" s="143"/>
      <c r="BW57" s="12"/>
    </row>
    <row r="58" spans="1:75" x14ac:dyDescent="0.25">
      <c r="A58" s="140"/>
      <c r="B58" s="141"/>
      <c r="C58" s="142"/>
      <c r="D58" s="142"/>
      <c r="E58" s="142"/>
      <c r="F58" s="142"/>
      <c r="G58" s="142"/>
      <c r="H58" s="142"/>
      <c r="I58" s="142"/>
      <c r="J58" s="142"/>
      <c r="K58" s="142"/>
      <c r="L58" s="5"/>
      <c r="M58" s="149"/>
      <c r="P58" s="68"/>
      <c r="Q58" s="168"/>
      <c r="R58" s="88"/>
      <c r="S58" s="164" t="s">
        <v>77</v>
      </c>
      <c r="T58" s="88"/>
      <c r="U58" s="164">
        <f>MAX(U56:BQ56)+1</f>
        <v>3</v>
      </c>
      <c r="V58" s="163" t="s">
        <v>196</v>
      </c>
      <c r="W58" s="88"/>
      <c r="X58" s="88"/>
      <c r="Y58" s="88"/>
      <c r="Z58" s="88"/>
      <c r="AA58" s="88"/>
      <c r="AB58" s="88"/>
      <c r="AC58" s="88"/>
      <c r="AD58" s="88"/>
      <c r="AE58" s="88"/>
      <c r="AF58" s="88"/>
      <c r="AG58" s="88"/>
      <c r="AH58" s="88"/>
      <c r="AI58" s="88"/>
      <c r="AJ58" s="88"/>
      <c r="AK58" s="88"/>
      <c r="AL58" s="88"/>
      <c r="AM58" s="88"/>
      <c r="AN58" s="88"/>
      <c r="AO58" s="88"/>
      <c r="AP58" s="88"/>
      <c r="AQ58" s="88"/>
      <c r="AR58" s="88"/>
      <c r="AS58" s="88"/>
      <c r="AT58" s="88"/>
      <c r="AU58" s="88"/>
      <c r="AV58" s="182"/>
      <c r="AW58" s="77"/>
      <c r="AX58" s="88"/>
      <c r="AY58" s="163"/>
      <c r="AZ58" s="75"/>
      <c r="BA58" s="88"/>
      <c r="BB58" s="88"/>
      <c r="BC58" s="88"/>
      <c r="BD58" s="88"/>
      <c r="BE58" s="88"/>
      <c r="BF58" s="88"/>
      <c r="BG58" s="88"/>
      <c r="BH58" s="88"/>
      <c r="BI58" s="88"/>
      <c r="BJ58" s="88"/>
      <c r="BK58" s="88"/>
      <c r="BL58" s="88"/>
      <c r="BM58" s="88"/>
      <c r="BN58" s="88"/>
      <c r="BO58" s="88"/>
      <c r="BP58" s="88"/>
      <c r="BQ58" s="88"/>
      <c r="BR58" s="88"/>
      <c r="BS58" s="88"/>
      <c r="BT58" s="88"/>
      <c r="BU58" s="88"/>
      <c r="BV58" s="143"/>
      <c r="BW58" s="12"/>
    </row>
    <row r="59" spans="1:75" x14ac:dyDescent="0.25">
      <c r="A59" s="140"/>
      <c r="B59" s="141"/>
      <c r="C59" s="142"/>
      <c r="D59" s="142"/>
      <c r="E59" s="142"/>
      <c r="F59" s="142"/>
      <c r="G59" s="142"/>
      <c r="H59" s="142"/>
      <c r="I59" s="142"/>
      <c r="J59" s="142"/>
      <c r="K59" s="142"/>
      <c r="L59" s="5"/>
      <c r="M59" s="149"/>
      <c r="P59" s="68"/>
      <c r="Q59" s="168"/>
      <c r="R59" s="88"/>
      <c r="S59" s="164" t="s">
        <v>78</v>
      </c>
      <c r="T59" s="88"/>
      <c r="U59" s="164">
        <f ca="1">COUNTIF($U$55:$BQ$55,"="&amp;INDIRECT(V57)-1)</f>
        <v>25</v>
      </c>
      <c r="V59" s="88"/>
      <c r="W59" s="88"/>
      <c r="X59" s="88"/>
      <c r="Y59" s="88"/>
      <c r="Z59" s="88"/>
      <c r="AA59" s="88"/>
      <c r="AB59" s="88"/>
      <c r="AC59" s="88"/>
      <c r="AD59" s="88"/>
      <c r="AE59" s="88"/>
      <c r="AF59" s="88"/>
      <c r="AG59" s="88"/>
      <c r="AH59" s="88"/>
      <c r="AI59" s="88"/>
      <c r="AJ59" s="88"/>
      <c r="AK59" s="88"/>
      <c r="AL59" s="88"/>
      <c r="AM59" s="88"/>
      <c r="AN59" s="88"/>
      <c r="AO59" s="88"/>
      <c r="AP59" s="88"/>
      <c r="AQ59" s="88"/>
      <c r="AR59" s="88"/>
      <c r="AS59" s="88"/>
      <c r="AT59" s="88"/>
      <c r="AU59" s="88"/>
      <c r="AV59" s="88"/>
      <c r="AW59" s="88"/>
      <c r="AX59" s="88"/>
      <c r="AY59" s="163"/>
      <c r="AZ59" s="76"/>
      <c r="BA59" s="88"/>
      <c r="BB59" s="88"/>
      <c r="BC59" s="88"/>
      <c r="BD59" s="88"/>
      <c r="BE59" s="88"/>
      <c r="BF59" s="88"/>
      <c r="BG59" s="88"/>
      <c r="BH59" s="88"/>
      <c r="BI59" s="88"/>
      <c r="BJ59" s="88"/>
      <c r="BK59" s="88"/>
      <c r="BL59" s="88"/>
      <c r="BM59" s="88"/>
      <c r="BN59" s="88"/>
      <c r="BO59" s="88"/>
      <c r="BP59" s="88"/>
      <c r="BQ59" s="88"/>
      <c r="BR59" s="88"/>
      <c r="BS59" s="88"/>
      <c r="BT59" s="88"/>
      <c r="BU59" s="88"/>
      <c r="BV59" s="143"/>
      <c r="BW59" s="12"/>
    </row>
    <row r="60" spans="1:75" x14ac:dyDescent="0.25">
      <c r="A60" s="140"/>
      <c r="B60" s="141"/>
      <c r="C60" s="142"/>
      <c r="D60" s="142"/>
      <c r="E60" s="142"/>
      <c r="F60" s="142"/>
      <c r="G60" s="142"/>
      <c r="H60" s="142"/>
      <c r="I60" s="142"/>
      <c r="J60" s="142"/>
      <c r="K60" s="142"/>
      <c r="L60" s="5"/>
      <c r="M60" s="149"/>
      <c r="P60" s="68"/>
      <c r="Q60" s="168"/>
      <c r="R60" s="88"/>
      <c r="S60" s="164" t="s">
        <v>79</v>
      </c>
      <c r="T60" s="88"/>
      <c r="U60" s="164">
        <f ca="1">COUNTIF($U$56:$BQ$56,"="&amp;INDIRECT(V58)-1)</f>
        <v>0</v>
      </c>
      <c r="V60" s="88"/>
      <c r="W60" s="88"/>
      <c r="X60" s="88"/>
      <c r="Y60" s="88"/>
      <c r="Z60" s="88"/>
      <c r="AA60" s="88"/>
      <c r="AB60" s="88"/>
      <c r="AC60" s="88"/>
      <c r="AD60" s="88"/>
      <c r="AE60" s="88"/>
      <c r="AF60" s="88"/>
      <c r="AG60" s="88"/>
      <c r="AH60" s="88"/>
      <c r="AI60" s="88"/>
      <c r="AJ60" s="88"/>
      <c r="AK60" s="88"/>
      <c r="AL60" s="88"/>
      <c r="AM60" s="88"/>
      <c r="AN60" s="88"/>
      <c r="AO60" s="88"/>
      <c r="AP60" s="88"/>
      <c r="AQ60" s="88"/>
      <c r="AR60" s="88"/>
      <c r="AS60" s="88"/>
      <c r="AT60" s="88"/>
      <c r="AU60" s="88"/>
      <c r="AV60" s="182"/>
      <c r="AW60" s="77"/>
      <c r="AX60" s="88"/>
      <c r="AY60" s="163"/>
      <c r="AZ60" s="76"/>
      <c r="BA60" s="88"/>
      <c r="BB60" s="88"/>
      <c r="BC60" s="88"/>
      <c r="BD60" s="88"/>
      <c r="BE60" s="88"/>
      <c r="BF60" s="88"/>
      <c r="BG60" s="88"/>
      <c r="BH60" s="88"/>
      <c r="BI60" s="88"/>
      <c r="BJ60" s="88"/>
      <c r="BK60" s="88"/>
      <c r="BL60" s="88"/>
      <c r="BM60" s="88"/>
      <c r="BN60" s="88"/>
      <c r="BO60" s="88"/>
      <c r="BP60" s="88"/>
      <c r="BQ60" s="88"/>
      <c r="BR60" s="88"/>
      <c r="BS60" s="88"/>
      <c r="BT60" s="88"/>
      <c r="BU60" s="88"/>
      <c r="BV60" s="143"/>
      <c r="BW60" s="12"/>
    </row>
    <row r="61" spans="1:75" ht="13.8" thickBot="1" x14ac:dyDescent="0.3">
      <c r="A61" s="150"/>
      <c r="B61" s="151"/>
      <c r="C61" s="152"/>
      <c r="D61" s="152"/>
      <c r="E61" s="152"/>
      <c r="F61" s="152"/>
      <c r="G61" s="152"/>
      <c r="H61" s="152"/>
      <c r="I61" s="152"/>
      <c r="J61" s="152"/>
      <c r="K61" s="152"/>
      <c r="L61" s="153"/>
      <c r="M61" s="154"/>
      <c r="P61" s="68"/>
      <c r="Q61" s="168"/>
      <c r="R61" s="88"/>
      <c r="S61" s="164" t="s">
        <v>80</v>
      </c>
      <c r="T61" s="164">
        <v>1</v>
      </c>
      <c r="U61" s="88">
        <f t="shared" ref="U61:AZ61" si="21">1+T61</f>
        <v>2</v>
      </c>
      <c r="V61" s="88">
        <f t="shared" si="21"/>
        <v>3</v>
      </c>
      <c r="W61" s="88">
        <f t="shared" si="21"/>
        <v>4</v>
      </c>
      <c r="X61" s="88">
        <f t="shared" si="21"/>
        <v>5</v>
      </c>
      <c r="Y61" s="88">
        <f t="shared" si="21"/>
        <v>6</v>
      </c>
      <c r="Z61" s="88">
        <f t="shared" si="21"/>
        <v>7</v>
      </c>
      <c r="AA61" s="88">
        <f t="shared" si="21"/>
        <v>8</v>
      </c>
      <c r="AB61" s="88">
        <f t="shared" si="21"/>
        <v>9</v>
      </c>
      <c r="AC61" s="88">
        <f t="shared" si="21"/>
        <v>10</v>
      </c>
      <c r="AD61" s="88">
        <f t="shared" si="21"/>
        <v>11</v>
      </c>
      <c r="AE61" s="88">
        <f t="shared" si="21"/>
        <v>12</v>
      </c>
      <c r="AF61" s="88">
        <f t="shared" si="21"/>
        <v>13</v>
      </c>
      <c r="AG61" s="88">
        <f t="shared" si="21"/>
        <v>14</v>
      </c>
      <c r="AH61" s="88">
        <f t="shared" si="21"/>
        <v>15</v>
      </c>
      <c r="AI61" s="88">
        <f t="shared" si="21"/>
        <v>16</v>
      </c>
      <c r="AJ61" s="88">
        <f t="shared" si="21"/>
        <v>17</v>
      </c>
      <c r="AK61" s="88">
        <f t="shared" si="21"/>
        <v>18</v>
      </c>
      <c r="AL61" s="88">
        <f t="shared" si="21"/>
        <v>19</v>
      </c>
      <c r="AM61" s="88">
        <f t="shared" si="21"/>
        <v>20</v>
      </c>
      <c r="AN61" s="88">
        <f t="shared" si="21"/>
        <v>21</v>
      </c>
      <c r="AO61" s="88">
        <f t="shared" si="21"/>
        <v>22</v>
      </c>
      <c r="AP61" s="88">
        <f t="shared" si="21"/>
        <v>23</v>
      </c>
      <c r="AQ61" s="88">
        <f t="shared" si="21"/>
        <v>24</v>
      </c>
      <c r="AR61" s="88">
        <f t="shared" si="21"/>
        <v>25</v>
      </c>
      <c r="AS61" s="88">
        <f t="shared" si="21"/>
        <v>26</v>
      </c>
      <c r="AT61" s="88">
        <f t="shared" si="21"/>
        <v>27</v>
      </c>
      <c r="AU61" s="88">
        <f t="shared" si="21"/>
        <v>28</v>
      </c>
      <c r="AV61" s="88">
        <f t="shared" si="21"/>
        <v>29</v>
      </c>
      <c r="AW61" s="88">
        <f t="shared" si="21"/>
        <v>30</v>
      </c>
      <c r="AX61" s="88">
        <f t="shared" si="21"/>
        <v>31</v>
      </c>
      <c r="AY61" s="88">
        <f t="shared" si="21"/>
        <v>32</v>
      </c>
      <c r="AZ61" s="88">
        <f t="shared" si="21"/>
        <v>33</v>
      </c>
      <c r="BA61" s="88">
        <f t="shared" ref="BA61:BQ61" si="22">1+AZ61</f>
        <v>34</v>
      </c>
      <c r="BB61" s="88">
        <f t="shared" si="22"/>
        <v>35</v>
      </c>
      <c r="BC61" s="88">
        <f t="shared" si="22"/>
        <v>36</v>
      </c>
      <c r="BD61" s="88">
        <f t="shared" si="22"/>
        <v>37</v>
      </c>
      <c r="BE61" s="88">
        <f t="shared" si="22"/>
        <v>38</v>
      </c>
      <c r="BF61" s="88">
        <f t="shared" si="22"/>
        <v>39</v>
      </c>
      <c r="BG61" s="88">
        <f t="shared" si="22"/>
        <v>40</v>
      </c>
      <c r="BH61" s="88">
        <f t="shared" si="22"/>
        <v>41</v>
      </c>
      <c r="BI61" s="88">
        <f t="shared" si="22"/>
        <v>42</v>
      </c>
      <c r="BJ61" s="88">
        <f t="shared" si="22"/>
        <v>43</v>
      </c>
      <c r="BK61" s="88">
        <f t="shared" si="22"/>
        <v>44</v>
      </c>
      <c r="BL61" s="88">
        <f t="shared" si="22"/>
        <v>45</v>
      </c>
      <c r="BM61" s="88">
        <f t="shared" si="22"/>
        <v>46</v>
      </c>
      <c r="BN61" s="88">
        <f t="shared" si="22"/>
        <v>47</v>
      </c>
      <c r="BO61" s="88">
        <f t="shared" si="22"/>
        <v>48</v>
      </c>
      <c r="BP61" s="88">
        <f t="shared" si="22"/>
        <v>49</v>
      </c>
      <c r="BQ61" s="88">
        <f t="shared" si="22"/>
        <v>50</v>
      </c>
      <c r="BR61" s="88"/>
      <c r="BS61" s="88"/>
      <c r="BT61" s="88"/>
      <c r="BU61" s="88"/>
      <c r="BV61" s="143"/>
      <c r="BW61" s="12"/>
    </row>
    <row r="62" spans="1:75" x14ac:dyDescent="0.25">
      <c r="P62" s="68"/>
      <c r="Q62" s="168"/>
      <c r="R62" s="88"/>
      <c r="S62" s="88"/>
      <c r="T62" s="88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88"/>
      <c r="AF62" s="88"/>
      <c r="AG62" s="88"/>
      <c r="AH62" s="88"/>
      <c r="AI62" s="88"/>
      <c r="AJ62" s="88"/>
      <c r="AK62" s="88"/>
      <c r="AL62" s="88"/>
      <c r="AM62" s="88"/>
      <c r="AN62" s="88"/>
      <c r="AO62" s="88"/>
      <c r="AP62" s="88"/>
      <c r="AQ62" s="88"/>
      <c r="AR62" s="88"/>
      <c r="AS62" s="88"/>
      <c r="AT62" s="88"/>
      <c r="AU62" s="88"/>
      <c r="AV62" s="163"/>
      <c r="AW62" s="75"/>
      <c r="AX62" s="88"/>
      <c r="AY62" s="163"/>
      <c r="AZ62" s="76"/>
      <c r="BA62" s="88"/>
      <c r="BB62" s="88"/>
      <c r="BC62" s="88"/>
      <c r="BD62" s="88"/>
      <c r="BE62" s="88"/>
      <c r="BF62" s="88"/>
      <c r="BG62" s="88"/>
      <c r="BH62" s="88"/>
      <c r="BI62" s="88"/>
      <c r="BJ62" s="88"/>
      <c r="BK62" s="88"/>
      <c r="BL62" s="88"/>
      <c r="BM62" s="88"/>
      <c r="BN62" s="88"/>
      <c r="BO62" s="88"/>
      <c r="BP62" s="88"/>
      <c r="BQ62" s="88"/>
      <c r="BR62" s="88"/>
      <c r="BS62" s="88"/>
      <c r="BT62" s="88"/>
      <c r="BU62" s="88"/>
      <c r="BV62" s="143"/>
      <c r="BW62" s="12"/>
    </row>
    <row r="63" spans="1:75" x14ac:dyDescent="0.25">
      <c r="P63" s="68"/>
      <c r="Q63" s="168"/>
      <c r="R63" s="88"/>
      <c r="S63" s="88"/>
      <c r="T63" s="88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88"/>
      <c r="AF63" s="88"/>
      <c r="AG63" s="88"/>
      <c r="AH63" s="88"/>
      <c r="AI63" s="88"/>
      <c r="AJ63" s="88"/>
      <c r="AK63" s="88"/>
      <c r="AL63" s="88"/>
      <c r="AM63" s="88"/>
      <c r="AN63" s="88"/>
      <c r="AO63" s="88"/>
      <c r="AP63" s="88"/>
      <c r="AQ63" s="88"/>
      <c r="AR63" s="88"/>
      <c r="AS63" s="88"/>
      <c r="AT63" s="88"/>
      <c r="AU63" s="88"/>
      <c r="AV63" s="88"/>
      <c r="AW63" s="88"/>
      <c r="AX63" s="88"/>
      <c r="AY63" s="163"/>
      <c r="AZ63" s="76"/>
      <c r="BA63" s="88"/>
      <c r="BB63" s="88"/>
      <c r="BC63" s="88"/>
      <c r="BD63" s="88"/>
      <c r="BE63" s="88"/>
      <c r="BF63" s="88"/>
      <c r="BG63" s="88"/>
      <c r="BH63" s="88"/>
      <c r="BI63" s="88"/>
      <c r="BJ63" s="88"/>
      <c r="BK63" s="88"/>
      <c r="BL63" s="88"/>
      <c r="BM63" s="88"/>
      <c r="BN63" s="88"/>
      <c r="BO63" s="88"/>
      <c r="BP63" s="88"/>
      <c r="BQ63" s="88"/>
      <c r="BR63" s="88"/>
      <c r="BS63" s="88"/>
      <c r="BT63" s="88"/>
      <c r="BU63" s="88"/>
      <c r="BV63" s="143"/>
      <c r="BW63" s="12"/>
    </row>
    <row r="64" spans="1:75" x14ac:dyDescent="0.25">
      <c r="P64" s="68"/>
      <c r="Q64" s="168"/>
      <c r="R64" s="88"/>
      <c r="S64" s="164" t="s">
        <v>81</v>
      </c>
      <c r="T64" s="164">
        <f ca="1">COUNTIF(SPC!C37:BA37,"&gt;"&amp;INDIRECT(U64))</f>
        <v>0</v>
      </c>
      <c r="U64" s="164" t="s">
        <v>197</v>
      </c>
      <c r="V64" s="88"/>
      <c r="W64" s="88"/>
      <c r="X64" s="88"/>
      <c r="Y64" s="88"/>
      <c r="Z64" s="88"/>
      <c r="AA64" s="88"/>
      <c r="AB64" s="88"/>
      <c r="AC64" s="88"/>
      <c r="AD64" s="88"/>
      <c r="AE64" s="88"/>
      <c r="AF64" s="88"/>
      <c r="AG64" s="88"/>
      <c r="AH64" s="88"/>
      <c r="AI64" s="88"/>
      <c r="AJ64" s="88"/>
      <c r="AK64" s="88"/>
      <c r="AL64" s="88"/>
      <c r="AM64" s="88"/>
      <c r="AN64" s="88"/>
      <c r="AO64" s="88"/>
      <c r="AP64" s="88"/>
      <c r="AQ64" s="88"/>
      <c r="AR64" s="88"/>
      <c r="AS64" s="88"/>
      <c r="AT64" s="88"/>
      <c r="AU64" s="88"/>
      <c r="AV64" s="88"/>
      <c r="AW64" s="88"/>
      <c r="AX64" s="88"/>
      <c r="AY64" s="182"/>
      <c r="AZ64" s="77"/>
      <c r="BA64" s="88"/>
      <c r="BB64" s="88"/>
      <c r="BC64" s="88"/>
      <c r="BD64" s="88"/>
      <c r="BE64" s="88"/>
      <c r="BF64" s="88"/>
      <c r="BG64" s="88"/>
      <c r="BH64" s="88"/>
      <c r="BI64" s="88"/>
      <c r="BJ64" s="88"/>
      <c r="BK64" s="88"/>
      <c r="BL64" s="88"/>
      <c r="BM64" s="88"/>
      <c r="BN64" s="88"/>
      <c r="BO64" s="88"/>
      <c r="BP64" s="88"/>
      <c r="BQ64" s="88"/>
      <c r="BR64" s="88"/>
      <c r="BS64" s="88"/>
      <c r="BT64" s="88"/>
      <c r="BU64" s="88"/>
      <c r="BV64" s="143"/>
      <c r="BW64" s="12"/>
    </row>
    <row r="65" spans="16:75" x14ac:dyDescent="0.25">
      <c r="P65" s="68"/>
      <c r="Q65" s="168"/>
      <c r="R65" s="88"/>
      <c r="S65" s="164" t="s">
        <v>82</v>
      </c>
      <c r="T65" s="164">
        <f ca="1">COUNTIF(SPC!C37:BA37,"&lt;"&amp;INDIRECT(U65))</f>
        <v>0</v>
      </c>
      <c r="U65" s="164" t="s">
        <v>198</v>
      </c>
      <c r="V65" s="88"/>
      <c r="W65" s="88"/>
      <c r="X65" s="88"/>
      <c r="Y65" s="88"/>
      <c r="Z65" s="88"/>
      <c r="AA65" s="88"/>
      <c r="AB65" s="88"/>
      <c r="AC65" s="88"/>
      <c r="AD65" s="88"/>
      <c r="AE65" s="88"/>
      <c r="AF65" s="88"/>
      <c r="AG65" s="88"/>
      <c r="AH65" s="88"/>
      <c r="AI65" s="88"/>
      <c r="AJ65" s="88"/>
      <c r="AK65" s="88"/>
      <c r="AL65" s="88"/>
      <c r="AM65" s="88"/>
      <c r="AN65" s="88"/>
      <c r="AO65" s="88"/>
      <c r="AP65" s="88"/>
      <c r="AQ65" s="88"/>
      <c r="AR65" s="88"/>
      <c r="AS65" s="88"/>
      <c r="AT65" s="88"/>
      <c r="AU65" s="88"/>
      <c r="AV65" s="88"/>
      <c r="AW65" s="88"/>
      <c r="AX65" s="88"/>
      <c r="AY65" s="88"/>
      <c r="AZ65" s="88"/>
      <c r="BA65" s="88"/>
      <c r="BB65" s="88"/>
      <c r="BC65" s="88"/>
      <c r="BD65" s="88"/>
      <c r="BE65" s="88"/>
      <c r="BF65" s="88"/>
      <c r="BG65" s="88"/>
      <c r="BH65" s="88"/>
      <c r="BI65" s="88"/>
      <c r="BJ65" s="88"/>
      <c r="BK65" s="88"/>
      <c r="BL65" s="88"/>
      <c r="BM65" s="88"/>
      <c r="BN65" s="88"/>
      <c r="BO65" s="88"/>
      <c r="BP65" s="88"/>
      <c r="BQ65" s="88"/>
      <c r="BR65" s="88"/>
      <c r="BS65" s="88"/>
      <c r="BT65" s="88"/>
      <c r="BU65" s="88"/>
      <c r="BV65" s="143"/>
      <c r="BW65" s="12"/>
    </row>
    <row r="66" spans="16:75" x14ac:dyDescent="0.25">
      <c r="P66" s="68"/>
      <c r="Q66" s="168"/>
      <c r="R66" s="88"/>
      <c r="S66" s="164" t="s">
        <v>83</v>
      </c>
      <c r="T66" s="164">
        <f ca="1">COUNTIF(SPC!C38:BA38,"&gt;"&amp;INDIRECT(U66))</f>
        <v>0</v>
      </c>
      <c r="U66" s="164" t="s">
        <v>199</v>
      </c>
      <c r="V66" s="88"/>
      <c r="W66" s="88"/>
      <c r="X66" s="88"/>
      <c r="Y66" s="88"/>
      <c r="Z66" s="88"/>
      <c r="AA66" s="88"/>
      <c r="AB66" s="88"/>
      <c r="AC66" s="88"/>
      <c r="AD66" s="88"/>
      <c r="AE66" s="88"/>
      <c r="AF66" s="88"/>
      <c r="AG66" s="88"/>
      <c r="AH66" s="88"/>
      <c r="AI66" s="88"/>
      <c r="AJ66" s="88"/>
      <c r="AK66" s="88"/>
      <c r="AL66" s="88"/>
      <c r="AM66" s="88"/>
      <c r="AN66" s="88"/>
      <c r="AO66" s="88"/>
      <c r="AP66" s="88"/>
      <c r="AQ66" s="88"/>
      <c r="AR66" s="88"/>
      <c r="AS66" s="88"/>
      <c r="AT66" s="88"/>
      <c r="AU66" s="88"/>
      <c r="AV66" s="88"/>
      <c r="AW66" s="88"/>
      <c r="AX66" s="88"/>
      <c r="AY66" s="88"/>
      <c r="AZ66" s="88"/>
      <c r="BA66" s="88"/>
      <c r="BB66" s="88"/>
      <c r="BC66" s="88"/>
      <c r="BD66" s="88"/>
      <c r="BE66" s="88"/>
      <c r="BF66" s="88"/>
      <c r="BG66" s="88"/>
      <c r="BH66" s="88"/>
      <c r="BI66" s="88"/>
      <c r="BJ66" s="88"/>
      <c r="BK66" s="88"/>
      <c r="BL66" s="88"/>
      <c r="BM66" s="88"/>
      <c r="BN66" s="88"/>
      <c r="BO66" s="88"/>
      <c r="BP66" s="88"/>
      <c r="BQ66" s="88"/>
      <c r="BR66" s="88"/>
      <c r="BS66" s="88"/>
      <c r="BT66" s="88"/>
      <c r="BU66" s="88"/>
      <c r="BV66" s="143"/>
      <c r="BW66" s="12"/>
    </row>
    <row r="67" spans="16:75" x14ac:dyDescent="0.25">
      <c r="P67" s="68"/>
      <c r="Q67" s="168"/>
      <c r="R67" s="88"/>
      <c r="S67" s="164" t="s">
        <v>84</v>
      </c>
      <c r="T67" s="164">
        <f ca="1">COUNTIF(SPC!C38:BA38,"&lt;"&amp;INDIRECT(U67))</f>
        <v>51</v>
      </c>
      <c r="U67" s="164" t="s">
        <v>200</v>
      </c>
      <c r="V67" s="88"/>
      <c r="W67" s="88"/>
      <c r="X67" s="88"/>
      <c r="Y67" s="88"/>
      <c r="Z67" s="88"/>
      <c r="AA67" s="88"/>
      <c r="AB67" s="88"/>
      <c r="AC67" s="88"/>
      <c r="AD67" s="88"/>
      <c r="AE67" s="88"/>
      <c r="AF67" s="88"/>
      <c r="AG67" s="88"/>
      <c r="AH67" s="88"/>
      <c r="AI67" s="88"/>
      <c r="AJ67" s="88"/>
      <c r="AK67" s="88"/>
      <c r="AL67" s="88"/>
      <c r="AM67" s="88"/>
      <c r="AN67" s="88"/>
      <c r="AO67" s="88"/>
      <c r="AP67" s="88"/>
      <c r="AQ67" s="88"/>
      <c r="AR67" s="88"/>
      <c r="AS67" s="88"/>
      <c r="AT67" s="88"/>
      <c r="AU67" s="88"/>
      <c r="AV67" s="88"/>
      <c r="AW67" s="88"/>
      <c r="AX67" s="88"/>
      <c r="AY67" s="88"/>
      <c r="AZ67" s="88"/>
      <c r="BA67" s="88"/>
      <c r="BB67" s="88"/>
      <c r="BC67" s="88"/>
      <c r="BD67" s="88"/>
      <c r="BE67" s="88"/>
      <c r="BF67" s="88"/>
      <c r="BG67" s="88"/>
      <c r="BH67" s="88"/>
      <c r="BI67" s="88"/>
      <c r="BJ67" s="88"/>
      <c r="BK67" s="88"/>
      <c r="BL67" s="88"/>
      <c r="BM67" s="88"/>
      <c r="BN67" s="88"/>
      <c r="BO67" s="88"/>
      <c r="BP67" s="88"/>
      <c r="BQ67" s="88"/>
      <c r="BR67" s="88"/>
      <c r="BS67" s="88"/>
      <c r="BT67" s="88"/>
      <c r="BU67" s="88"/>
      <c r="BV67" s="143"/>
      <c r="BW67" s="12"/>
    </row>
    <row r="68" spans="16:75" x14ac:dyDescent="0.25">
      <c r="P68" s="68"/>
      <c r="Q68" s="168"/>
      <c r="R68" s="88"/>
      <c r="S68" s="88"/>
      <c r="T68" s="88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88"/>
      <c r="AF68" s="88"/>
      <c r="AG68" s="88"/>
      <c r="AH68" s="88"/>
      <c r="AI68" s="88"/>
      <c r="AJ68" s="88"/>
      <c r="AK68" s="88"/>
      <c r="AL68" s="88"/>
      <c r="AM68" s="88"/>
      <c r="AN68" s="88"/>
      <c r="AO68" s="88"/>
      <c r="AP68" s="88"/>
      <c r="AQ68" s="88"/>
      <c r="AR68" s="88"/>
      <c r="AS68" s="88"/>
      <c r="AT68" s="88"/>
      <c r="AU68" s="88"/>
      <c r="AV68" s="88"/>
      <c r="AW68" s="88"/>
      <c r="AX68" s="88"/>
      <c r="AY68" s="88"/>
      <c r="AZ68" s="88"/>
      <c r="BA68" s="88"/>
      <c r="BB68" s="88"/>
      <c r="BC68" s="88"/>
      <c r="BD68" s="88"/>
      <c r="BE68" s="88"/>
      <c r="BF68" s="88"/>
      <c r="BG68" s="88"/>
      <c r="BH68" s="88"/>
      <c r="BI68" s="88"/>
      <c r="BJ68" s="88"/>
      <c r="BK68" s="88"/>
      <c r="BL68" s="88"/>
      <c r="BM68" s="88"/>
      <c r="BN68" s="88"/>
      <c r="BO68" s="88"/>
      <c r="BP68" s="88"/>
      <c r="BQ68" s="88"/>
      <c r="BR68" s="88"/>
      <c r="BS68" s="88"/>
      <c r="BT68" s="88"/>
      <c r="BU68" s="88"/>
      <c r="BV68" s="143"/>
      <c r="BW68" s="12"/>
    </row>
    <row r="69" spans="16:75" x14ac:dyDescent="0.25">
      <c r="P69" s="68"/>
      <c r="Q69" s="168"/>
      <c r="R69" s="88"/>
      <c r="S69" s="88"/>
      <c r="T69" s="88"/>
      <c r="U69" s="88"/>
      <c r="V69" s="88"/>
      <c r="W69" s="88"/>
      <c r="X69" s="88"/>
      <c r="Y69" s="88"/>
      <c r="Z69" s="88"/>
      <c r="AA69" s="88"/>
      <c r="AB69" s="88"/>
      <c r="AC69" s="88"/>
      <c r="AD69" s="88"/>
      <c r="AE69" s="88"/>
      <c r="AF69" s="88"/>
      <c r="AG69" s="88"/>
      <c r="AH69" s="88"/>
      <c r="AI69" s="88"/>
      <c r="AJ69" s="88"/>
      <c r="AK69" s="88"/>
      <c r="AL69" s="88"/>
      <c r="AM69" s="88"/>
      <c r="AN69" s="88"/>
      <c r="AO69" s="88"/>
      <c r="AP69" s="88"/>
      <c r="AQ69" s="88"/>
      <c r="AR69" s="88"/>
      <c r="AS69" s="88"/>
      <c r="AT69" s="88"/>
      <c r="AU69" s="88"/>
      <c r="AV69" s="88"/>
      <c r="AW69" s="88"/>
      <c r="AX69" s="88"/>
      <c r="AY69" s="88"/>
      <c r="AZ69" s="88"/>
      <c r="BA69" s="88"/>
      <c r="BB69" s="88"/>
      <c r="BC69" s="88"/>
      <c r="BD69" s="88"/>
      <c r="BE69" s="88"/>
      <c r="BF69" s="88"/>
      <c r="BG69" s="88"/>
      <c r="BH69" s="88"/>
      <c r="BI69" s="88"/>
      <c r="BJ69" s="88"/>
      <c r="BK69" s="88"/>
      <c r="BL69" s="88"/>
      <c r="BM69" s="88"/>
      <c r="BN69" s="88"/>
      <c r="BO69" s="88"/>
      <c r="BP69" s="88"/>
      <c r="BQ69" s="88"/>
      <c r="BR69" s="88"/>
      <c r="BS69" s="88"/>
      <c r="BT69" s="88"/>
      <c r="BU69" s="88"/>
      <c r="BV69" s="143"/>
      <c r="BW69" s="12"/>
    </row>
    <row r="70" spans="16:75" x14ac:dyDescent="0.25">
      <c r="P70" s="68"/>
      <c r="Q70" s="168"/>
      <c r="R70" s="164"/>
      <c r="S70" s="164" t="s">
        <v>85</v>
      </c>
      <c r="T70" s="164">
        <f>IF(SUM(SPC!C32:C36)=0,"",IF(SPC!C37&gt;$U$33,1,0))</f>
        <v>0</v>
      </c>
      <c r="U70" s="164">
        <f>IF(SUM(SPC!D32:D36)=0,"",IF(SPC!D37&gt;$U$33,1,0))</f>
        <v>1</v>
      </c>
      <c r="V70" s="164">
        <f>IF(SUM(SPC!E32:E36)=0,"",IF(SPC!E37&gt;$U$33,1,0))</f>
        <v>0</v>
      </c>
      <c r="W70" s="164">
        <f>IF(SUM(SPC!F32:F36)=0,"",IF(SPC!F37&gt;$U$33,1,0))</f>
        <v>1</v>
      </c>
      <c r="X70" s="164">
        <f>IF(SUM(SPC!G32:G36)=0,"",IF(SPC!G37&gt;$U$33,1,0))</f>
        <v>0</v>
      </c>
      <c r="Y70" s="164">
        <f>IF(SUM(SPC!H32:H36)=0,"",IF(SPC!H37&gt;$U$33,1,0))</f>
        <v>1</v>
      </c>
      <c r="Z70" s="164">
        <f>IF(SUM(SPC!I32:I36)=0,"",IF(SPC!I37&gt;$U$33,1,0))</f>
        <v>0</v>
      </c>
      <c r="AA70" s="164">
        <f>IF(SUM(SPC!J32:J36)=0,"",IF(SPC!J37&gt;$U$33,1,0))</f>
        <v>1</v>
      </c>
      <c r="AB70" s="164">
        <f>IF(SUM(SPC!K32:K36)=0,"",IF(SPC!K37&gt;$U$33,1,0))</f>
        <v>0</v>
      </c>
      <c r="AC70" s="164">
        <f>IF(SUM(SPC!L32:L36)=0,"",IF(SPC!L37&gt;$U$33,1,0))</f>
        <v>1</v>
      </c>
      <c r="AD70" s="164">
        <f>IF(SUM(SPC!M32:M36)=0,"",IF(SPC!M37&gt;$U$33,1,0))</f>
        <v>0</v>
      </c>
      <c r="AE70" s="164">
        <f>IF(SUM(SPC!N32:N36)=0,"",IF(SPC!N37&gt;$U$33,1,0))</f>
        <v>1</v>
      </c>
      <c r="AF70" s="164">
        <f>IF(SUM(SPC!O32:O36)=0,"",IF(SPC!O37&gt;$U$33,1,0))</f>
        <v>0</v>
      </c>
      <c r="AG70" s="164">
        <f>IF(SUM(SPC!P32:P36)=0,"",IF(SPC!P37&gt;$U$33,1,0))</f>
        <v>1</v>
      </c>
      <c r="AH70" s="164">
        <f>IF(SUM(SPC!Q32:Q36)=0,"",IF(SPC!Q37&gt;$U$33,1,0))</f>
        <v>0</v>
      </c>
      <c r="AI70" s="164">
        <f>IF(SUM(SPC!R32:R36)=0,"",IF(SPC!R37&gt;$U$33,1,0))</f>
        <v>1</v>
      </c>
      <c r="AJ70" s="164">
        <f>IF(SUM(SPC!S32:S36)=0,"",IF(SPC!S37&gt;$U$33,1,0))</f>
        <v>0</v>
      </c>
      <c r="AK70" s="164">
        <f>IF(SUM(SPC!T32:T36)=0,"",IF(SPC!T37&gt;$U$33,1,0))</f>
        <v>1</v>
      </c>
      <c r="AL70" s="164">
        <f>IF(SUM(SPC!U32:U36)=0,"",IF(SPC!U37&gt;$U$33,1,0))</f>
        <v>0</v>
      </c>
      <c r="AM70" s="164">
        <f>IF(SUM(SPC!V32:V36)=0,"",IF(SPC!V37&gt;$U$33,1,0))</f>
        <v>1</v>
      </c>
      <c r="AN70" s="164">
        <f>IF(SUM(SPC!W32:W36)=0,"",IF(SPC!W37&gt;$U$33,1,0))</f>
        <v>0</v>
      </c>
      <c r="AO70" s="164">
        <f>IF(SUM(SPC!X32:X36)=0,"",IF(SPC!X37&gt;$U$33,1,0))</f>
        <v>1</v>
      </c>
      <c r="AP70" s="164">
        <f>IF(SUM(SPC!Y32:Y36)=0,"",IF(SPC!Y37&gt;$U$33,1,0))</f>
        <v>0</v>
      </c>
      <c r="AQ70" s="164">
        <f>IF(SUM(SPC!Z32:Z36)=0,"",IF(SPC!Z37&gt;$U$33,1,0))</f>
        <v>1</v>
      </c>
      <c r="AR70" s="164">
        <f>IF(SUM(SPC!AA32:AA36)=0,"",IF(SPC!AA37&gt;$U$33,1,0))</f>
        <v>0</v>
      </c>
      <c r="AS70" s="164">
        <f>IF(SUM(SPC!AC32:AC36)=0,"",IF(SPC!AC37&gt;$U$33,1,0))</f>
        <v>0</v>
      </c>
      <c r="AT70" s="164">
        <f>IF(SUM(SPC!AD32:AD36)=0,"",IF(SPC!AD37&gt;$U$33,1,0))</f>
        <v>1</v>
      </c>
      <c r="AU70" s="164">
        <f>IF(SUM(SPC!AE32:AE36)=0,"",IF(SPC!AE37&gt;$U$33,1,0))</f>
        <v>0</v>
      </c>
      <c r="AV70" s="164">
        <f>IF(SUM(SPC!AF32:AF36)=0,"",IF(SPC!AF37&gt;$U$33,1,0))</f>
        <v>1</v>
      </c>
      <c r="AW70" s="164">
        <f>IF(SUM(SPC!AG32:AG36)=0,"",IF(SPC!AG37&gt;$U$33,1,0))</f>
        <v>0</v>
      </c>
      <c r="AX70" s="164">
        <f>IF(SUM(SPC!AH32:AH36)=0,"",IF(SPC!AH37&gt;$U$33,1,0))</f>
        <v>1</v>
      </c>
      <c r="AY70" s="164">
        <f>IF(SUM(SPC!AI32:AI36)=0,"",IF(SPC!AI37&gt;$U$33,1,0))</f>
        <v>0</v>
      </c>
      <c r="AZ70" s="164">
        <f>IF(SUM(SPC!AJ32:AJ36)=0,"",IF(SPC!AJ37&gt;$U$33,1,0))</f>
        <v>1</v>
      </c>
      <c r="BA70" s="164">
        <f>IF(SUM(SPC!AK32:AK36)=0,"",IF(SPC!AK37&gt;$U$33,1,0))</f>
        <v>0</v>
      </c>
      <c r="BB70" s="164">
        <f>IF(SUM(SPC!AL32:AL36)=0,"",IF(SPC!AL37&gt;$U$33,1,0))</f>
        <v>1</v>
      </c>
      <c r="BC70" s="164">
        <f>IF(SUM(SPC!AM32:AM36)=0,"",IF(SPC!AM37&gt;$U$33,1,0))</f>
        <v>0</v>
      </c>
      <c r="BD70" s="164">
        <f>IF(SUM(SPC!AN32:AN36)=0,"",IF(SPC!AN37&gt;$U$33,1,0))</f>
        <v>1</v>
      </c>
      <c r="BE70" s="164">
        <f>IF(SUM(SPC!AO32:AO36)=0,"",IF(SPC!AO37&gt;$U$33,1,0))</f>
        <v>0</v>
      </c>
      <c r="BF70" s="164">
        <f>IF(SUM(SPC!AP32:AP36)=0,"",IF(SPC!AP37&gt;$U$33,1,0))</f>
        <v>1</v>
      </c>
      <c r="BG70" s="164">
        <f>IF(SUM(SPC!AQ32:AQ36)=0,"",IF(SPC!AQ37&gt;$U$33,1,0))</f>
        <v>0</v>
      </c>
      <c r="BH70" s="164">
        <f>IF(SUM(SPC!AR32:AR36)=0,"",IF(SPC!AR37&gt;$U$33,1,0))</f>
        <v>1</v>
      </c>
      <c r="BI70" s="164">
        <f>IF(SUM(SPC!AS32:AS36)=0,"",IF(SPC!AS37&gt;$U$33,1,0))</f>
        <v>0</v>
      </c>
      <c r="BJ70" s="164">
        <f>IF(SUM(SPC!AT32:AT36)=0,"",IF(SPC!AT37&gt;$U$33,1,0))</f>
        <v>1</v>
      </c>
      <c r="BK70" s="164">
        <f>IF(SUM(SPC!AU32:AU36)=0,"",IF(SPC!AU37&gt;$U$33,1,0))</f>
        <v>0</v>
      </c>
      <c r="BL70" s="164">
        <f>IF(SUM(SPC!AV32:AV36)=0,"",IF(SPC!AV37&gt;$U$33,1,0))</f>
        <v>1</v>
      </c>
      <c r="BM70" s="164">
        <f>IF(SUM(SPC!AW32:AW36)=0,"",IF(SPC!AW37&gt;$U$33,1,0))</f>
        <v>0</v>
      </c>
      <c r="BN70" s="164">
        <f>IF(SUM(SPC!AX32:AX36)=0,"",IF(SPC!AX37&gt;$U$33,1,0))</f>
        <v>1</v>
      </c>
      <c r="BO70" s="164">
        <f>IF(SUM(SPC!AY32:AY36)=0,"",IF(SPC!AY37&gt;$U$33,1,0))</f>
        <v>0</v>
      </c>
      <c r="BP70" s="164">
        <f>IF(SUM(SPC!AZ32:AZ36)=0,"",IF(SPC!AZ37&gt;$U$33,1,0))</f>
        <v>1</v>
      </c>
      <c r="BQ70" s="164" t="str">
        <f>IF(SUM(P37:P41)=0,"",IF(P42&gt;$U$33,1,0))</f>
        <v/>
      </c>
      <c r="BR70" s="88"/>
      <c r="BS70" s="88"/>
      <c r="BT70" s="88"/>
      <c r="BU70" s="88"/>
      <c r="BV70" s="143"/>
      <c r="BW70" s="12"/>
    </row>
    <row r="71" spans="16:75" x14ac:dyDescent="0.25">
      <c r="P71" s="68"/>
      <c r="Q71" s="168"/>
      <c r="R71" s="164"/>
      <c r="S71" s="164" t="s">
        <v>86</v>
      </c>
      <c r="T71" s="164">
        <f>IF(SUM(SPC!C32:C36)=0,"",IF(SPC!C37&lt;$U$33,1,0))</f>
        <v>1</v>
      </c>
      <c r="U71" s="164">
        <f>IF(SUM(SPC!D32:D36)=0,"",IF(SPC!D37&lt;$U$33,1,0))</f>
        <v>0</v>
      </c>
      <c r="V71" s="164">
        <f>IF(SUM(SPC!E32:E36)=0,"",IF(SPC!E37&lt;$U$33,1,0))</f>
        <v>1</v>
      </c>
      <c r="W71" s="164">
        <f>IF(SUM(SPC!F32:F36)=0,"",IF(SPC!F37&lt;$U$33,1,0))</f>
        <v>0</v>
      </c>
      <c r="X71" s="164">
        <f>IF(SUM(SPC!G32:G36)=0,"",IF(SPC!G37&lt;$U$33,1,0))</f>
        <v>1</v>
      </c>
      <c r="Y71" s="164">
        <f>IF(SUM(SPC!H32:H36)=0,"",IF(SPC!H37&lt;$U$33,1,0))</f>
        <v>0</v>
      </c>
      <c r="Z71" s="164">
        <f>IF(SUM(SPC!I32:I36)=0,"",IF(SPC!I37&lt;$U$33,1,0))</f>
        <v>1</v>
      </c>
      <c r="AA71" s="164">
        <f>IF(SUM(SPC!J32:J36)=0,"",IF(SPC!J37&lt;$U$33,1,0))</f>
        <v>0</v>
      </c>
      <c r="AB71" s="164">
        <f>IF(SUM(SPC!K32:K36)=0,"",IF(SPC!K37&lt;$U$33,1,0))</f>
        <v>1</v>
      </c>
      <c r="AC71" s="164">
        <f>IF(SUM(SPC!L32:L36)=0,"",IF(SPC!L37&lt;$U$33,1,0))</f>
        <v>0</v>
      </c>
      <c r="AD71" s="164">
        <f>IF(SUM(SPC!M32:M36)=0,"",IF(SPC!M37&lt;$U$33,1,0))</f>
        <v>1</v>
      </c>
      <c r="AE71" s="164">
        <f>IF(SUM(SPC!N32:N36)=0,"",IF(SPC!N37&lt;$U$33,1,0))</f>
        <v>0</v>
      </c>
      <c r="AF71" s="164">
        <f>IF(SUM(SPC!O32:O36)=0,"",IF(SPC!O37&lt;$U$33,1,0))</f>
        <v>1</v>
      </c>
      <c r="AG71" s="164">
        <f>IF(SUM(SPC!P32:P36)=0,"",IF(SPC!P37&lt;$U$33,1,0))</f>
        <v>0</v>
      </c>
      <c r="AH71" s="164">
        <f>IF(SUM(SPC!Q32:Q36)=0,"",IF(SPC!Q37&lt;$U$33,1,0))</f>
        <v>1</v>
      </c>
      <c r="AI71" s="164">
        <f>IF(SUM(SPC!R32:R36)=0,"",IF(SPC!R37&lt;$U$33,1,0))</f>
        <v>0</v>
      </c>
      <c r="AJ71" s="164">
        <f>IF(SUM(SPC!S32:S36)=0,"",IF(SPC!S37&lt;$U$33,1,0))</f>
        <v>1</v>
      </c>
      <c r="AK71" s="164">
        <f>IF(SUM(SPC!T32:T36)=0,"",IF(SPC!T37&lt;$U$33,1,0))</f>
        <v>0</v>
      </c>
      <c r="AL71" s="164">
        <f>IF(SUM(SPC!U32:U36)=0,"",IF(SPC!U37&lt;$U$33,1,0))</f>
        <v>1</v>
      </c>
      <c r="AM71" s="164">
        <f>IF(SUM(SPC!V32:V36)=0,"",IF(SPC!V37&lt;$U$33,1,0))</f>
        <v>0</v>
      </c>
      <c r="AN71" s="164">
        <f>IF(SUM(SPC!W32:W36)=0,"",IF(SPC!W37&lt;$U$33,1,0))</f>
        <v>1</v>
      </c>
      <c r="AO71" s="164">
        <f>IF(SUM(SPC!X32:X36)=0,"",IF(SPC!X37&lt;$U$33,1,0))</f>
        <v>0</v>
      </c>
      <c r="AP71" s="164">
        <f>IF(SUM(SPC!Y32:Y36)=0,"",IF(SPC!Y37&lt;$U$33,1,0))</f>
        <v>1</v>
      </c>
      <c r="AQ71" s="164">
        <f>IF(SUM(SPC!Z32:Z36)=0,"",IF(SPC!Z37&lt;$U$33,1,0))</f>
        <v>0</v>
      </c>
      <c r="AR71" s="164">
        <f>IF(SUM(SPC!AA32:AA36)=0,"",IF(SPC!AA37&lt;$U$33,1,0))</f>
        <v>1</v>
      </c>
      <c r="AS71" s="164">
        <f>IF(SUM(SPC!AC32:AC36)=0,"",IF(SPC!AC37&lt;$U$33,1,0))</f>
        <v>1</v>
      </c>
      <c r="AT71" s="164">
        <f>IF(SUM(SPC!AD32:AD36)=0,"",IF(SPC!AD37&lt;$U$33,1,0))</f>
        <v>0</v>
      </c>
      <c r="AU71" s="164">
        <f>IF(SUM(SPC!AE32:AE36)=0,"",IF(SPC!AE37&lt;$U$33,1,0))</f>
        <v>1</v>
      </c>
      <c r="AV71" s="164">
        <f>IF(SUM(SPC!AF32:AF36)=0,"",IF(SPC!AF37&lt;$U$33,1,0))</f>
        <v>0</v>
      </c>
      <c r="AW71" s="164">
        <f>IF(SUM(SPC!AG32:AG36)=0,"",IF(SPC!AG37&lt;$U$33,1,0))</f>
        <v>1</v>
      </c>
      <c r="AX71" s="164">
        <f>IF(SUM(SPC!AH32:AH36)=0,"",IF(SPC!AH37&lt;$U$33,1,0))</f>
        <v>0</v>
      </c>
      <c r="AY71" s="164">
        <f>IF(SUM(SPC!AI32:AI36)=0,"",IF(SPC!AI37&lt;$U$33,1,0))</f>
        <v>1</v>
      </c>
      <c r="AZ71" s="164">
        <f>IF(SUM(SPC!AJ32:AJ36)=0,"",IF(SPC!AJ37&lt;$U$33,1,0))</f>
        <v>0</v>
      </c>
      <c r="BA71" s="164">
        <f>IF(SUM(SPC!AK32:AK36)=0,"",IF(SPC!AK37&lt;$U$33,1,0))</f>
        <v>1</v>
      </c>
      <c r="BB71" s="164">
        <f>IF(SUM(SPC!AL32:AL36)=0,"",IF(SPC!AL37&lt;$U$33,1,0))</f>
        <v>0</v>
      </c>
      <c r="BC71" s="164">
        <f>IF(SUM(SPC!AM32:AM36)=0,"",IF(SPC!AM37&lt;$U$33,1,0))</f>
        <v>1</v>
      </c>
      <c r="BD71" s="164">
        <f>IF(SUM(SPC!AN32:AN36)=0,"",IF(SPC!AN37&lt;$U$33,1,0))</f>
        <v>0</v>
      </c>
      <c r="BE71" s="164">
        <f>IF(SUM(SPC!AO32:AO36)=0,"",IF(SPC!AO37&lt;$U$33,1,0))</f>
        <v>1</v>
      </c>
      <c r="BF71" s="164">
        <f>IF(SUM(SPC!AP32:AP36)=0,"",IF(SPC!AP37&lt;$U$33,1,0))</f>
        <v>0</v>
      </c>
      <c r="BG71" s="164">
        <f>IF(SUM(SPC!AQ32:AQ36)=0,"",IF(SPC!AQ37&lt;$U$33,1,0))</f>
        <v>1</v>
      </c>
      <c r="BH71" s="164">
        <f>IF(SUM(SPC!AR32:AR36)=0,"",IF(SPC!AR37&lt;$U$33,1,0))</f>
        <v>0</v>
      </c>
      <c r="BI71" s="164">
        <f>IF(SUM(SPC!AS32:AS36)=0,"",IF(SPC!AS37&lt;$U$33,1,0))</f>
        <v>1</v>
      </c>
      <c r="BJ71" s="164">
        <f>IF(SUM(SPC!AT32:AT36)=0,"",IF(SPC!AT37&lt;$U$33,1,0))</f>
        <v>0</v>
      </c>
      <c r="BK71" s="164">
        <f>IF(SUM(SPC!AU32:AU36)=0,"",IF(SPC!AU37&lt;$U$33,1,0))</f>
        <v>1</v>
      </c>
      <c r="BL71" s="164">
        <f>IF(SUM(SPC!AV32:AV36)=0,"",IF(SPC!AV37&lt;$U$33,1,0))</f>
        <v>0</v>
      </c>
      <c r="BM71" s="164">
        <f>IF(SUM(SPC!AW32:AW36)=0,"",IF(SPC!AW37&lt;$U$33,1,0))</f>
        <v>1</v>
      </c>
      <c r="BN71" s="164">
        <f>IF(SUM(SPC!AX32:AX36)=0,"",IF(SPC!AX37&lt;$U$33,1,0))</f>
        <v>0</v>
      </c>
      <c r="BO71" s="164">
        <f>IF(SUM(SPC!AY32:AY36)=0,"",IF(SPC!AY37&lt;$U$33,1,0))</f>
        <v>1</v>
      </c>
      <c r="BP71" s="164">
        <f>IF(SUM(SPC!AZ32:AZ36)=0,"",IF(SPC!AZ37&lt;$U$33,1,0))</f>
        <v>0</v>
      </c>
      <c r="BQ71" s="164" t="str">
        <f>IF(SUM(P37:P41)=0,"",IF(P42&lt;$U$33,1,0))</f>
        <v/>
      </c>
      <c r="BR71" s="88"/>
      <c r="BS71" s="88"/>
      <c r="BT71" s="88"/>
      <c r="BU71" s="88"/>
      <c r="BV71" s="143"/>
      <c r="BW71" s="12"/>
    </row>
    <row r="72" spans="16:75" x14ac:dyDescent="0.25">
      <c r="P72" s="68"/>
      <c r="Q72" s="168"/>
      <c r="R72" s="164"/>
      <c r="S72" s="164" t="s">
        <v>87</v>
      </c>
      <c r="T72" s="164">
        <f>IF(SUM(SPC!C32:C36)=0,"",IF(SPC!C38&gt;$U$35,1,0))</f>
        <v>1</v>
      </c>
      <c r="U72" s="164">
        <f>IF(SUM(SPC!D32:D36)=0,"",IF(SPC!D38&gt;$U$35,1,0))</f>
        <v>0</v>
      </c>
      <c r="V72" s="164">
        <f>IF(SUM(SPC!E32:E36)=0,"",IF(SPC!E38&gt;$U$35,1,0))</f>
        <v>0</v>
      </c>
      <c r="W72" s="164">
        <f>IF(SUM(SPC!F32:F36)=0,"",IF(SPC!F38&gt;$U$35,1,0))</f>
        <v>1</v>
      </c>
      <c r="X72" s="164">
        <f>IF(SUM(SPC!G32:G36)=0,"",IF(SPC!G38&gt;$U$35,1,0))</f>
        <v>1</v>
      </c>
      <c r="Y72" s="164">
        <f>IF(SUM(SPC!H32:H36)=0,"",IF(SPC!H38&gt;$U$35,1,0))</f>
        <v>0</v>
      </c>
      <c r="Z72" s="164">
        <f>IF(SUM(SPC!I32:I36)=0,"",IF(SPC!I38&gt;$U$35,1,0))</f>
        <v>0</v>
      </c>
      <c r="AA72" s="164">
        <f>IF(SUM(SPC!J32:J36)=0,"",IF(SPC!J38&gt;$U$35,1,0))</f>
        <v>1</v>
      </c>
      <c r="AB72" s="164">
        <f>IF(SUM(SPC!K32:K36)=0,"",IF(SPC!K38&gt;$U$35,1,0))</f>
        <v>1</v>
      </c>
      <c r="AC72" s="164">
        <f>IF(SUM(SPC!L32:L36)=0,"",IF(SPC!L38&gt;$U$35,1,0))</f>
        <v>0</v>
      </c>
      <c r="AD72" s="164">
        <f>IF(SUM(SPC!M32:M36)=0,"",IF(SPC!M38&gt;$U$35,1,0))</f>
        <v>0</v>
      </c>
      <c r="AE72" s="164">
        <f>IF(SUM(SPC!N32:N36)=0,"",IF(SPC!N38&gt;$U$35,1,0))</f>
        <v>1</v>
      </c>
      <c r="AF72" s="164">
        <f>IF(SUM(SPC!O32:O36)=0,"",IF(SPC!O38&gt;$U$35,1,0))</f>
        <v>1</v>
      </c>
      <c r="AG72" s="164">
        <f>IF(SUM(SPC!P32:P36)=0,"",IF(SPC!P38&gt;$U$35,1,0))</f>
        <v>0</v>
      </c>
      <c r="AH72" s="164">
        <f>IF(SUM(SPC!Q32:Q36)=0,"",IF(SPC!Q38&gt;$U$35,1,0))</f>
        <v>0</v>
      </c>
      <c r="AI72" s="164">
        <f>IF(SUM(SPC!R32:R36)=0,"",IF(SPC!R38&gt;$U$35,1,0))</f>
        <v>1</v>
      </c>
      <c r="AJ72" s="164">
        <f>IF(SUM(SPC!S32:S36)=0,"",IF(SPC!S38&gt;$U$35,1,0))</f>
        <v>1</v>
      </c>
      <c r="AK72" s="164">
        <f>IF(SUM(SPC!T32:T36)=0,"",IF(SPC!T38&gt;$U$35,1,0))</f>
        <v>0</v>
      </c>
      <c r="AL72" s="164">
        <f>IF(SUM(SPC!U32:U36)=0,"",IF(SPC!U38&gt;$U$35,1,0))</f>
        <v>0</v>
      </c>
      <c r="AM72" s="164">
        <f>IF(SUM(SPC!V32:V36)=0,"",IF(SPC!V38&gt;$U$35,1,0))</f>
        <v>1</v>
      </c>
      <c r="AN72" s="164">
        <f>IF(SUM(SPC!W32:W36)=0,"",IF(SPC!W38&gt;$U$35,1,0))</f>
        <v>1</v>
      </c>
      <c r="AO72" s="164">
        <f>IF(SUM(SPC!X32:X36)=0,"",IF(SPC!X38&gt;$U$35,1,0))</f>
        <v>0</v>
      </c>
      <c r="AP72" s="164">
        <f>IF(SUM(SPC!Y32:Y36)=0,"",IF(SPC!Y38&gt;$U$35,1,0))</f>
        <v>0</v>
      </c>
      <c r="AQ72" s="164">
        <f>IF(SUM(SPC!Z32:Z36)=0,"",IF(SPC!Z38&gt;$U$35,1,0))</f>
        <v>1</v>
      </c>
      <c r="AR72" s="164">
        <f>IF(SUM(SPC!AA32:AA36)=0,"",IF(SPC!AA38&gt;$U$35,1,0))</f>
        <v>1</v>
      </c>
      <c r="AS72" s="164">
        <f>IF(SUM(SPC!AC32:AC36)=0,"",IF(SPC!AC38&gt;$U$35,1,0))</f>
        <v>0</v>
      </c>
      <c r="AT72" s="164">
        <f>IF(SUM(SPC!AD32:AD36)=0,"",IF(SPC!AD38&gt;$U$35,1,0))</f>
        <v>1</v>
      </c>
      <c r="AU72" s="164">
        <f>IF(SUM(SPC!AE32:AE36)=0,"",IF(SPC!AE38&gt;$U$35,1,0))</f>
        <v>1</v>
      </c>
      <c r="AV72" s="164">
        <f>IF(SUM(SPC!AF32:AF36)=0,"",IF(SPC!AF38&gt;$U$35,1,0))</f>
        <v>0</v>
      </c>
      <c r="AW72" s="164">
        <f>IF(SUM(SPC!AG32:AG36)=0,"",IF(SPC!AG38&gt;$U$35,1,0))</f>
        <v>0</v>
      </c>
      <c r="AX72" s="164">
        <f>IF(SUM(SPC!AH32:AH36)=0,"",IF(SPC!AH38&gt;$U$35,1,0))</f>
        <v>1</v>
      </c>
      <c r="AY72" s="164">
        <f>IF(SUM(SPC!AI32:AI36)=0,"",IF(SPC!AI38&gt;$U$35,1,0))</f>
        <v>1</v>
      </c>
      <c r="AZ72" s="164">
        <f>IF(SUM(SPC!AJ32:AJ36)=0,"",IF(SPC!AJ38&gt;$U$35,1,0))</f>
        <v>0</v>
      </c>
      <c r="BA72" s="164">
        <f>IF(SUM(SPC!AK32:AK36)=0,"",IF(SPC!AK38&gt;$U$35,1,0))</f>
        <v>0</v>
      </c>
      <c r="BB72" s="164">
        <f>IF(SUM(SPC!AL32:AL36)=0,"",IF(SPC!AL38&gt;$U$35,1,0))</f>
        <v>1</v>
      </c>
      <c r="BC72" s="164">
        <f>IF(SUM(SPC!AM32:AM36)=0,"",IF(SPC!AM38&gt;$U$35,1,0))</f>
        <v>1</v>
      </c>
      <c r="BD72" s="164">
        <f>IF(SUM(SPC!AN32:AN36)=0,"",IF(SPC!AN38&gt;$U$35,1,0))</f>
        <v>0</v>
      </c>
      <c r="BE72" s="164">
        <f>IF(SUM(SPC!AO32:AO36)=0,"",IF(SPC!AO38&gt;$U$35,1,0))</f>
        <v>0</v>
      </c>
      <c r="BF72" s="164">
        <f>IF(SUM(SPC!AP32:AP36)=0,"",IF(SPC!AP38&gt;$U$35,1,0))</f>
        <v>1</v>
      </c>
      <c r="BG72" s="164">
        <f>IF(SUM(SPC!AQ32:AQ36)=0,"",IF(SPC!AQ38&gt;$U$35,1,0))</f>
        <v>1</v>
      </c>
      <c r="BH72" s="164">
        <f>IF(SUM(SPC!AR32:AR36)=0,"",IF(SPC!AR38&gt;$U$35,1,0))</f>
        <v>0</v>
      </c>
      <c r="BI72" s="164">
        <f>IF(SUM(SPC!AS32:AS36)=0,"",IF(SPC!AS38&gt;$U$35,1,0))</f>
        <v>0</v>
      </c>
      <c r="BJ72" s="164">
        <f>IF(SUM(SPC!AT32:AT36)=0,"",IF(SPC!AT38&gt;$U$35,1,0))</f>
        <v>1</v>
      </c>
      <c r="BK72" s="164">
        <f>IF(SUM(SPC!AU32:AU36)=0,"",IF(SPC!AU38&gt;$U$35,1,0))</f>
        <v>1</v>
      </c>
      <c r="BL72" s="164">
        <f>IF(SUM(SPC!AV32:AV36)=0,"",IF(SPC!AV38&gt;$U$35,1,0))</f>
        <v>0</v>
      </c>
      <c r="BM72" s="164">
        <f>IF(SUM(SPC!AW32:AW36)=0,"",IF(SPC!AW38&gt;$U$35,1,0))</f>
        <v>0</v>
      </c>
      <c r="BN72" s="164">
        <f>IF(SUM(SPC!AX32:AX36)=0,"",IF(SPC!AX38&gt;$U$35,1,0))</f>
        <v>1</v>
      </c>
      <c r="BO72" s="164">
        <f>IF(SUM(SPC!AY32:AY36)=0,"",IF(SPC!AY38&gt;$U$35,1,0))</f>
        <v>1</v>
      </c>
      <c r="BP72" s="164">
        <f>IF(SUM(SPC!AZ32:AZ36)=0,"",IF(SPC!AZ38&gt;$U$35,1,0))</f>
        <v>0</v>
      </c>
      <c r="BQ72" s="164" t="str">
        <f>IF(SUM(P37:P41)=0,"",IF(P43&gt;$U$35,1,0))</f>
        <v/>
      </c>
      <c r="BR72" s="88"/>
      <c r="BS72" s="88"/>
      <c r="BT72" s="88"/>
      <c r="BU72" s="88"/>
      <c r="BV72" s="143"/>
      <c r="BW72" s="12"/>
    </row>
    <row r="73" spans="16:75" x14ac:dyDescent="0.25">
      <c r="P73" s="68"/>
      <c r="Q73" s="168"/>
      <c r="R73" s="164"/>
      <c r="S73" s="164" t="s">
        <v>88</v>
      </c>
      <c r="T73" s="164">
        <f>IF(SUM(SPC!C32:C36)=0,"",IF(SPC!C38&lt;$U$35,1,0))</f>
        <v>0</v>
      </c>
      <c r="U73" s="164">
        <f>IF(SUM(SPC!D32:D36)=0,"",IF(SPC!D38&lt;$U$35,1,0))</f>
        <v>1</v>
      </c>
      <c r="V73" s="164">
        <f>IF(SUM(SPC!E32:E36)=0,"",IF(SPC!E38&lt;$U$35,1,0))</f>
        <v>1</v>
      </c>
      <c r="W73" s="164">
        <f>IF(SUM(SPC!F32:F36)=0,"",IF(SPC!F38&lt;$U$35,1,0))</f>
        <v>0</v>
      </c>
      <c r="X73" s="164">
        <f>IF(SUM(SPC!G32:G36)=0,"",IF(SPC!G38&lt;$U$35,1,0))</f>
        <v>0</v>
      </c>
      <c r="Y73" s="164">
        <f>IF(SUM(SPC!H32:H36)=0,"",IF(SPC!H38&lt;$U$35,1,0))</f>
        <v>1</v>
      </c>
      <c r="Z73" s="164">
        <f>IF(SUM(SPC!I32:I36)=0,"",IF(SPC!I38&lt;$U$35,1,0))</f>
        <v>1</v>
      </c>
      <c r="AA73" s="164">
        <f>IF(SUM(SPC!J32:J36)=0,"",IF(SPC!J38&lt;$U$35,1,0))</f>
        <v>0</v>
      </c>
      <c r="AB73" s="164">
        <f>IF(SUM(SPC!K32:K36)=0,"",IF(SPC!K38&lt;$U$35,1,0))</f>
        <v>0</v>
      </c>
      <c r="AC73" s="164">
        <f>IF(SUM(SPC!L32:L36)=0,"",IF(SPC!L38&lt;$U$35,1,0))</f>
        <v>1</v>
      </c>
      <c r="AD73" s="164">
        <f>IF(SUM(SPC!M32:M36)=0,"",IF(SPC!M38&lt;$U$35,1,0))</f>
        <v>1</v>
      </c>
      <c r="AE73" s="164">
        <f>IF(SUM(SPC!N32:N36)=0,"",IF(SPC!N38&lt;$U$35,1,0))</f>
        <v>0</v>
      </c>
      <c r="AF73" s="164">
        <f>IF(SUM(SPC!O32:O36)=0,"",IF(SPC!O38&lt;$U$35,1,0))</f>
        <v>0</v>
      </c>
      <c r="AG73" s="164">
        <f>IF(SUM(SPC!P32:P36)=0,"",IF(SPC!P38&lt;$U$35,1,0))</f>
        <v>1</v>
      </c>
      <c r="AH73" s="164">
        <f>IF(SUM(SPC!Q32:Q36)=0,"",IF(SPC!Q38&lt;$U$35,1,0))</f>
        <v>1</v>
      </c>
      <c r="AI73" s="164">
        <f>IF(SUM(SPC!R32:R36)=0,"",IF(SPC!R38&lt;$U$35,1,0))</f>
        <v>0</v>
      </c>
      <c r="AJ73" s="164">
        <f>IF(SUM(SPC!S32:S36)=0,"",IF(SPC!S38&lt;$U$35,1,0))</f>
        <v>0</v>
      </c>
      <c r="AK73" s="164">
        <f>IF(SUM(SPC!T32:T36)=0,"",IF(SPC!T38&lt;$U$35,1,0))</f>
        <v>1</v>
      </c>
      <c r="AL73" s="164">
        <f>IF(SUM(SPC!U32:U36)=0,"",IF(SPC!U38&lt;$U$35,1,0))</f>
        <v>1</v>
      </c>
      <c r="AM73" s="164">
        <f>IF(SUM(SPC!V32:V36)=0,"",IF(SPC!V38&lt;$U$35,1,0))</f>
        <v>0</v>
      </c>
      <c r="AN73" s="164">
        <f>IF(SUM(SPC!W32:W36)=0,"",IF(SPC!W38&lt;$U$35,1,0))</f>
        <v>0</v>
      </c>
      <c r="AO73" s="164">
        <f>IF(SUM(SPC!X32:X36)=0,"",IF(SPC!X38&lt;$U$35,1,0))</f>
        <v>1</v>
      </c>
      <c r="AP73" s="164">
        <f>IF(SUM(SPC!Y32:Y36)=0,"",IF(SPC!Y38&lt;$U$35,1,0))</f>
        <v>1</v>
      </c>
      <c r="AQ73" s="164">
        <f>IF(SUM(SPC!Z32:Z36)=0,"",IF(SPC!Z38&lt;$U$35,1,0))</f>
        <v>0</v>
      </c>
      <c r="AR73" s="164">
        <f>IF(SUM(SPC!AA32:AA36)=0,"",IF(SPC!AA38&lt;$U$35,1,0))</f>
        <v>0</v>
      </c>
      <c r="AS73" s="164">
        <f>IF(SUM(SPC!AC32:AC36)=0,"",IF(SPC!AC38&lt;$U$35,1,0))</f>
        <v>1</v>
      </c>
      <c r="AT73" s="164">
        <f>IF(SUM(SPC!AD32:AD36)=0,"",IF(SPC!AD38&lt;$U$35,1,0))</f>
        <v>0</v>
      </c>
      <c r="AU73" s="164">
        <f>IF(SUM(SPC!AE32:AE36)=0,"",IF(SPC!AE38&lt;$U$35,1,0))</f>
        <v>0</v>
      </c>
      <c r="AV73" s="164">
        <f>IF(SUM(SPC!AF32:AF36)=0,"",IF(SPC!AF38&lt;$U$35,1,0))</f>
        <v>1</v>
      </c>
      <c r="AW73" s="164">
        <f>IF(SUM(SPC!AG32:AG36)=0,"",IF(SPC!AG38&lt;$U$35,1,0))</f>
        <v>1</v>
      </c>
      <c r="AX73" s="164">
        <f>IF(SUM(SPC!AH32:AH36)=0,"",IF(SPC!AH38&lt;$U$35,1,0))</f>
        <v>0</v>
      </c>
      <c r="AY73" s="164">
        <f>IF(SUM(SPC!AI32:AI36)=0,"",IF(SPC!AI38&lt;$U$35,1,0))</f>
        <v>0</v>
      </c>
      <c r="AZ73" s="164">
        <f>IF(SUM(SPC!AJ32:AJ36)=0,"",IF(SPC!AJ38&lt;$U$35,1,0))</f>
        <v>1</v>
      </c>
      <c r="BA73" s="164">
        <f>IF(SUM(SPC!AK32:AK36)=0,"",IF(SPC!AK38&lt;$U$35,1,0))</f>
        <v>1</v>
      </c>
      <c r="BB73" s="164">
        <f>IF(SUM(SPC!AL32:AL36)=0,"",IF(SPC!AL38&lt;$U$35,1,0))</f>
        <v>0</v>
      </c>
      <c r="BC73" s="164">
        <f>IF(SUM(SPC!AM32:AM36)=0,"",IF(SPC!AM38&lt;$U$35,1,0))</f>
        <v>0</v>
      </c>
      <c r="BD73" s="164">
        <f>IF(SUM(SPC!AN32:AN36)=0,"",IF(SPC!AN38&lt;$U$35,1,0))</f>
        <v>1</v>
      </c>
      <c r="BE73" s="164">
        <f>IF(SUM(SPC!AO32:AO36)=0,"",IF(SPC!AO38&lt;$U$35,1,0))</f>
        <v>1</v>
      </c>
      <c r="BF73" s="164">
        <f>IF(SUM(SPC!AP32:AP36)=0,"",IF(SPC!AP38&lt;$U$35,1,0))</f>
        <v>0</v>
      </c>
      <c r="BG73" s="164">
        <f>IF(SUM(SPC!AQ32:AQ36)=0,"",IF(SPC!AQ38&lt;$U$35,1,0))</f>
        <v>0</v>
      </c>
      <c r="BH73" s="164">
        <f>IF(SUM(SPC!AR32:AR36)=0,"",IF(SPC!AR38&lt;$U$35,1,0))</f>
        <v>1</v>
      </c>
      <c r="BI73" s="164">
        <f>IF(SUM(SPC!AS32:AS36)=0,"",IF(SPC!AS38&lt;$U$35,1,0))</f>
        <v>1</v>
      </c>
      <c r="BJ73" s="164">
        <f>IF(SUM(SPC!AT32:AT36)=0,"",IF(SPC!AT38&lt;$U$35,1,0))</f>
        <v>0</v>
      </c>
      <c r="BK73" s="164">
        <f>IF(SUM(SPC!AU32:AU36)=0,"",IF(SPC!AU38&lt;$U$35,1,0))</f>
        <v>0</v>
      </c>
      <c r="BL73" s="164">
        <f>IF(SUM(SPC!AV32:AV36)=0,"",IF(SPC!AV38&lt;$U$35,1,0))</f>
        <v>1</v>
      </c>
      <c r="BM73" s="164">
        <f>IF(SUM(SPC!AW32:AW36)=0,"",IF(SPC!AW38&lt;$U$35,1,0))</f>
        <v>1</v>
      </c>
      <c r="BN73" s="164">
        <f>IF(SUM(SPC!AX32:AX36)=0,"",IF(SPC!AX38&lt;$U$35,1,0))</f>
        <v>0</v>
      </c>
      <c r="BO73" s="164">
        <f>IF(SUM(SPC!AY32:AY36)=0,"",IF(SPC!AY38&lt;$U$35,1,0))</f>
        <v>0</v>
      </c>
      <c r="BP73" s="164">
        <f>IF(SUM(SPC!AZ32:AZ36)=0,"",IF(SPC!AZ38&lt;$U$35,1,0))</f>
        <v>1</v>
      </c>
      <c r="BQ73" s="164" t="str">
        <f>IF(SUM(P37:P41)=0,"",IF(P43&lt;$U$35,1,0))</f>
        <v/>
      </c>
      <c r="BR73" s="88"/>
      <c r="BS73" s="88"/>
      <c r="BT73" s="88"/>
      <c r="BU73" s="88"/>
      <c r="BV73" s="143"/>
      <c r="BW73" s="12"/>
    </row>
    <row r="74" spans="16:75" x14ac:dyDescent="0.25">
      <c r="P74" s="68"/>
      <c r="Q74" s="168"/>
      <c r="R74" s="164"/>
      <c r="S74" s="164"/>
      <c r="T74" s="164"/>
      <c r="U74" s="164"/>
      <c r="V74" s="164"/>
      <c r="W74" s="164"/>
      <c r="X74" s="164"/>
      <c r="Y74" s="164"/>
      <c r="Z74" s="164"/>
      <c r="AA74" s="164"/>
      <c r="AB74" s="164"/>
      <c r="AC74" s="164"/>
      <c r="AD74" s="164"/>
      <c r="AE74" s="164"/>
      <c r="AF74" s="164"/>
      <c r="AG74" s="164"/>
      <c r="AH74" s="164"/>
      <c r="AI74" s="164"/>
      <c r="AJ74" s="164"/>
      <c r="AK74" s="164"/>
      <c r="AL74" s="164"/>
      <c r="AM74" s="164"/>
      <c r="AN74" s="164"/>
      <c r="AO74" s="164"/>
      <c r="AP74" s="164"/>
      <c r="AQ74" s="164"/>
      <c r="AR74" s="164"/>
      <c r="AS74" s="164"/>
      <c r="AT74" s="88"/>
      <c r="AU74" s="88"/>
      <c r="AV74" s="88"/>
      <c r="AW74" s="88"/>
      <c r="AX74" s="88"/>
      <c r="AY74" s="88"/>
      <c r="AZ74" s="88"/>
      <c r="BA74" s="88"/>
      <c r="BB74" s="88"/>
      <c r="BC74" s="88"/>
      <c r="BD74" s="88"/>
      <c r="BE74" s="88"/>
      <c r="BF74" s="88"/>
      <c r="BG74" s="88"/>
      <c r="BH74" s="88"/>
      <c r="BI74" s="88"/>
      <c r="BJ74" s="88"/>
      <c r="BK74" s="88"/>
      <c r="BL74" s="88"/>
      <c r="BM74" s="88"/>
      <c r="BN74" s="88"/>
      <c r="BO74" s="88"/>
      <c r="BP74" s="88"/>
      <c r="BQ74" s="88"/>
      <c r="BR74" s="88"/>
      <c r="BS74" s="88"/>
      <c r="BT74" s="88"/>
      <c r="BU74" s="88"/>
      <c r="BV74" s="143"/>
      <c r="BW74" s="12"/>
    </row>
    <row r="75" spans="16:75" x14ac:dyDescent="0.25">
      <c r="P75" s="68"/>
      <c r="Q75" s="168"/>
      <c r="R75" s="164"/>
      <c r="S75" s="164" t="s">
        <v>89</v>
      </c>
      <c r="T75" s="164">
        <f>IF(T70=1,1,0)</f>
        <v>0</v>
      </c>
      <c r="U75" s="164">
        <f t="shared" ref="U75:AZ75" si="23">IF(AND(U70=1,T70=1),T75+1,1)</f>
        <v>1</v>
      </c>
      <c r="V75" s="164">
        <f t="shared" si="23"/>
        <v>1</v>
      </c>
      <c r="W75" s="164">
        <f t="shared" si="23"/>
        <v>1</v>
      </c>
      <c r="X75" s="164">
        <f t="shared" si="23"/>
        <v>1</v>
      </c>
      <c r="Y75" s="164">
        <f t="shared" si="23"/>
        <v>1</v>
      </c>
      <c r="Z75" s="164">
        <f t="shared" si="23"/>
        <v>1</v>
      </c>
      <c r="AA75" s="164">
        <f t="shared" si="23"/>
        <v>1</v>
      </c>
      <c r="AB75" s="164">
        <f t="shared" si="23"/>
        <v>1</v>
      </c>
      <c r="AC75" s="164">
        <f t="shared" si="23"/>
        <v>1</v>
      </c>
      <c r="AD75" s="164">
        <f t="shared" si="23"/>
        <v>1</v>
      </c>
      <c r="AE75" s="164">
        <f t="shared" si="23"/>
        <v>1</v>
      </c>
      <c r="AF75" s="164">
        <f t="shared" si="23"/>
        <v>1</v>
      </c>
      <c r="AG75" s="164">
        <f t="shared" si="23"/>
        <v>1</v>
      </c>
      <c r="AH75" s="164">
        <f t="shared" si="23"/>
        <v>1</v>
      </c>
      <c r="AI75" s="164">
        <f t="shared" si="23"/>
        <v>1</v>
      </c>
      <c r="AJ75" s="164">
        <f t="shared" si="23"/>
        <v>1</v>
      </c>
      <c r="AK75" s="164">
        <f t="shared" si="23"/>
        <v>1</v>
      </c>
      <c r="AL75" s="164">
        <f t="shared" si="23"/>
        <v>1</v>
      </c>
      <c r="AM75" s="164">
        <f t="shared" si="23"/>
        <v>1</v>
      </c>
      <c r="AN75" s="164">
        <f t="shared" si="23"/>
        <v>1</v>
      </c>
      <c r="AO75" s="164">
        <f t="shared" si="23"/>
        <v>1</v>
      </c>
      <c r="AP75" s="164">
        <f t="shared" si="23"/>
        <v>1</v>
      </c>
      <c r="AQ75" s="164">
        <f t="shared" si="23"/>
        <v>1</v>
      </c>
      <c r="AR75" s="164">
        <f t="shared" si="23"/>
        <v>1</v>
      </c>
      <c r="AS75" s="164">
        <f t="shared" si="23"/>
        <v>1</v>
      </c>
      <c r="AT75" s="164">
        <f t="shared" si="23"/>
        <v>1</v>
      </c>
      <c r="AU75" s="164">
        <f t="shared" si="23"/>
        <v>1</v>
      </c>
      <c r="AV75" s="164">
        <f t="shared" si="23"/>
        <v>1</v>
      </c>
      <c r="AW75" s="164">
        <f t="shared" si="23"/>
        <v>1</v>
      </c>
      <c r="AX75" s="164">
        <f t="shared" si="23"/>
        <v>1</v>
      </c>
      <c r="AY75" s="164">
        <f t="shared" si="23"/>
        <v>1</v>
      </c>
      <c r="AZ75" s="164">
        <f t="shared" si="23"/>
        <v>1</v>
      </c>
      <c r="BA75" s="164">
        <f t="shared" ref="BA75:BQ75" si="24">IF(AND(BA70=1,AZ70=1),AZ75+1,1)</f>
        <v>1</v>
      </c>
      <c r="BB75" s="164">
        <f t="shared" si="24"/>
        <v>1</v>
      </c>
      <c r="BC75" s="164">
        <f t="shared" si="24"/>
        <v>1</v>
      </c>
      <c r="BD75" s="164">
        <f t="shared" si="24"/>
        <v>1</v>
      </c>
      <c r="BE75" s="164">
        <f t="shared" si="24"/>
        <v>1</v>
      </c>
      <c r="BF75" s="164">
        <f t="shared" si="24"/>
        <v>1</v>
      </c>
      <c r="BG75" s="164">
        <f t="shared" si="24"/>
        <v>1</v>
      </c>
      <c r="BH75" s="164">
        <f t="shared" si="24"/>
        <v>1</v>
      </c>
      <c r="BI75" s="164">
        <f t="shared" si="24"/>
        <v>1</v>
      </c>
      <c r="BJ75" s="164">
        <f t="shared" si="24"/>
        <v>1</v>
      </c>
      <c r="BK75" s="164">
        <f t="shared" si="24"/>
        <v>1</v>
      </c>
      <c r="BL75" s="164">
        <f t="shared" si="24"/>
        <v>1</v>
      </c>
      <c r="BM75" s="164">
        <f t="shared" si="24"/>
        <v>1</v>
      </c>
      <c r="BN75" s="164">
        <f t="shared" si="24"/>
        <v>1</v>
      </c>
      <c r="BO75" s="164">
        <f t="shared" si="24"/>
        <v>1</v>
      </c>
      <c r="BP75" s="164">
        <f t="shared" si="24"/>
        <v>1</v>
      </c>
      <c r="BQ75" s="164">
        <f t="shared" si="24"/>
        <v>1</v>
      </c>
      <c r="BR75" s="88"/>
      <c r="BS75" s="88"/>
      <c r="BT75" s="88"/>
      <c r="BU75" s="88"/>
      <c r="BV75" s="143"/>
      <c r="BW75" s="12"/>
    </row>
    <row r="76" spans="16:75" x14ac:dyDescent="0.25">
      <c r="P76" s="68"/>
      <c r="Q76" s="168"/>
      <c r="R76" s="164"/>
      <c r="S76" s="164" t="s">
        <v>90</v>
      </c>
      <c r="T76" s="164">
        <f>IF(T71=1,1,0)</f>
        <v>1</v>
      </c>
      <c r="U76" s="164">
        <f t="shared" ref="U76:AZ76" si="25">IF(AND(U71=1,T71=1),T76+1,1)</f>
        <v>1</v>
      </c>
      <c r="V76" s="164">
        <f t="shared" si="25"/>
        <v>1</v>
      </c>
      <c r="W76" s="164">
        <f t="shared" si="25"/>
        <v>1</v>
      </c>
      <c r="X76" s="164">
        <f t="shared" si="25"/>
        <v>1</v>
      </c>
      <c r="Y76" s="164">
        <f t="shared" si="25"/>
        <v>1</v>
      </c>
      <c r="Z76" s="164">
        <f t="shared" si="25"/>
        <v>1</v>
      </c>
      <c r="AA76" s="164">
        <f t="shared" si="25"/>
        <v>1</v>
      </c>
      <c r="AB76" s="164">
        <f t="shared" si="25"/>
        <v>1</v>
      </c>
      <c r="AC76" s="164">
        <f t="shared" si="25"/>
        <v>1</v>
      </c>
      <c r="AD76" s="164">
        <f t="shared" si="25"/>
        <v>1</v>
      </c>
      <c r="AE76" s="164">
        <f t="shared" si="25"/>
        <v>1</v>
      </c>
      <c r="AF76" s="164">
        <f t="shared" si="25"/>
        <v>1</v>
      </c>
      <c r="AG76" s="164">
        <f t="shared" si="25"/>
        <v>1</v>
      </c>
      <c r="AH76" s="164">
        <f t="shared" si="25"/>
        <v>1</v>
      </c>
      <c r="AI76" s="164">
        <f t="shared" si="25"/>
        <v>1</v>
      </c>
      <c r="AJ76" s="164">
        <f t="shared" si="25"/>
        <v>1</v>
      </c>
      <c r="AK76" s="164">
        <f t="shared" si="25"/>
        <v>1</v>
      </c>
      <c r="AL76" s="164">
        <f t="shared" si="25"/>
        <v>1</v>
      </c>
      <c r="AM76" s="164">
        <f t="shared" si="25"/>
        <v>1</v>
      </c>
      <c r="AN76" s="164">
        <f t="shared" si="25"/>
        <v>1</v>
      </c>
      <c r="AO76" s="164">
        <f t="shared" si="25"/>
        <v>1</v>
      </c>
      <c r="AP76" s="164">
        <f t="shared" si="25"/>
        <v>1</v>
      </c>
      <c r="AQ76" s="164">
        <f t="shared" si="25"/>
        <v>1</v>
      </c>
      <c r="AR76" s="164">
        <f t="shared" si="25"/>
        <v>1</v>
      </c>
      <c r="AS76" s="164">
        <f t="shared" si="25"/>
        <v>2</v>
      </c>
      <c r="AT76" s="164">
        <f t="shared" si="25"/>
        <v>1</v>
      </c>
      <c r="AU76" s="164">
        <f t="shared" si="25"/>
        <v>1</v>
      </c>
      <c r="AV76" s="164">
        <f t="shared" si="25"/>
        <v>1</v>
      </c>
      <c r="AW76" s="164">
        <f t="shared" si="25"/>
        <v>1</v>
      </c>
      <c r="AX76" s="164">
        <f t="shared" si="25"/>
        <v>1</v>
      </c>
      <c r="AY76" s="164">
        <f t="shared" si="25"/>
        <v>1</v>
      </c>
      <c r="AZ76" s="164">
        <f t="shared" si="25"/>
        <v>1</v>
      </c>
      <c r="BA76" s="164">
        <f t="shared" ref="BA76:BQ76" si="26">IF(AND(BA71=1,AZ71=1),AZ76+1,1)</f>
        <v>1</v>
      </c>
      <c r="BB76" s="164">
        <f t="shared" si="26"/>
        <v>1</v>
      </c>
      <c r="BC76" s="164">
        <f t="shared" si="26"/>
        <v>1</v>
      </c>
      <c r="BD76" s="164">
        <f t="shared" si="26"/>
        <v>1</v>
      </c>
      <c r="BE76" s="164">
        <f t="shared" si="26"/>
        <v>1</v>
      </c>
      <c r="BF76" s="164">
        <f t="shared" si="26"/>
        <v>1</v>
      </c>
      <c r="BG76" s="164">
        <f t="shared" si="26"/>
        <v>1</v>
      </c>
      <c r="BH76" s="164">
        <f t="shared" si="26"/>
        <v>1</v>
      </c>
      <c r="BI76" s="164">
        <f t="shared" si="26"/>
        <v>1</v>
      </c>
      <c r="BJ76" s="164">
        <f t="shared" si="26"/>
        <v>1</v>
      </c>
      <c r="BK76" s="164">
        <f t="shared" si="26"/>
        <v>1</v>
      </c>
      <c r="BL76" s="164">
        <f t="shared" si="26"/>
        <v>1</v>
      </c>
      <c r="BM76" s="164">
        <f t="shared" si="26"/>
        <v>1</v>
      </c>
      <c r="BN76" s="164">
        <f t="shared" si="26"/>
        <v>1</v>
      </c>
      <c r="BO76" s="164">
        <f t="shared" si="26"/>
        <v>1</v>
      </c>
      <c r="BP76" s="164">
        <f t="shared" si="26"/>
        <v>1</v>
      </c>
      <c r="BQ76" s="164">
        <f t="shared" si="26"/>
        <v>1</v>
      </c>
      <c r="BR76" s="88"/>
      <c r="BS76" s="88"/>
      <c r="BT76" s="88"/>
      <c r="BU76" s="88"/>
      <c r="BV76" s="143"/>
      <c r="BW76" s="12"/>
    </row>
    <row r="77" spans="16:75" x14ac:dyDescent="0.25">
      <c r="P77" s="68"/>
      <c r="Q77" s="168"/>
      <c r="R77" s="164"/>
      <c r="S77" s="164" t="s">
        <v>91</v>
      </c>
      <c r="T77" s="164">
        <f>IF(T72=1,1,0)</f>
        <v>1</v>
      </c>
      <c r="U77" s="164">
        <f t="shared" ref="U77:AZ77" si="27">IF(AND(U72=1,T72=1),T77+1,1)</f>
        <v>1</v>
      </c>
      <c r="V77" s="164">
        <f t="shared" si="27"/>
        <v>1</v>
      </c>
      <c r="W77" s="164">
        <f t="shared" si="27"/>
        <v>1</v>
      </c>
      <c r="X77" s="164">
        <f t="shared" si="27"/>
        <v>2</v>
      </c>
      <c r="Y77" s="164">
        <f t="shared" si="27"/>
        <v>1</v>
      </c>
      <c r="Z77" s="164">
        <f t="shared" si="27"/>
        <v>1</v>
      </c>
      <c r="AA77" s="164">
        <f t="shared" si="27"/>
        <v>1</v>
      </c>
      <c r="AB77" s="164">
        <f t="shared" si="27"/>
        <v>2</v>
      </c>
      <c r="AC77" s="164">
        <f t="shared" si="27"/>
        <v>1</v>
      </c>
      <c r="AD77" s="164">
        <f t="shared" si="27"/>
        <v>1</v>
      </c>
      <c r="AE77" s="164">
        <f t="shared" si="27"/>
        <v>1</v>
      </c>
      <c r="AF77" s="164">
        <f t="shared" si="27"/>
        <v>2</v>
      </c>
      <c r="AG77" s="164">
        <f t="shared" si="27"/>
        <v>1</v>
      </c>
      <c r="AH77" s="164">
        <f t="shared" si="27"/>
        <v>1</v>
      </c>
      <c r="AI77" s="164">
        <f t="shared" si="27"/>
        <v>1</v>
      </c>
      <c r="AJ77" s="164">
        <f t="shared" si="27"/>
        <v>2</v>
      </c>
      <c r="AK77" s="164">
        <f t="shared" si="27"/>
        <v>1</v>
      </c>
      <c r="AL77" s="164">
        <f t="shared" si="27"/>
        <v>1</v>
      </c>
      <c r="AM77" s="164">
        <f t="shared" si="27"/>
        <v>1</v>
      </c>
      <c r="AN77" s="164">
        <f t="shared" si="27"/>
        <v>2</v>
      </c>
      <c r="AO77" s="164">
        <f t="shared" si="27"/>
        <v>1</v>
      </c>
      <c r="AP77" s="164">
        <f t="shared" si="27"/>
        <v>1</v>
      </c>
      <c r="AQ77" s="164">
        <f t="shared" si="27"/>
        <v>1</v>
      </c>
      <c r="AR77" s="164">
        <f t="shared" si="27"/>
        <v>2</v>
      </c>
      <c r="AS77" s="164">
        <f t="shared" si="27"/>
        <v>1</v>
      </c>
      <c r="AT77" s="164">
        <f t="shared" si="27"/>
        <v>1</v>
      </c>
      <c r="AU77" s="164">
        <f t="shared" si="27"/>
        <v>2</v>
      </c>
      <c r="AV77" s="164">
        <f t="shared" si="27"/>
        <v>1</v>
      </c>
      <c r="AW77" s="164">
        <f t="shared" si="27"/>
        <v>1</v>
      </c>
      <c r="AX77" s="164">
        <f t="shared" si="27"/>
        <v>1</v>
      </c>
      <c r="AY77" s="164">
        <f t="shared" si="27"/>
        <v>2</v>
      </c>
      <c r="AZ77" s="164">
        <f t="shared" si="27"/>
        <v>1</v>
      </c>
      <c r="BA77" s="164">
        <f t="shared" ref="BA77:BQ77" si="28">IF(AND(BA72=1,AZ72=1),AZ77+1,1)</f>
        <v>1</v>
      </c>
      <c r="BB77" s="164">
        <f t="shared" si="28"/>
        <v>1</v>
      </c>
      <c r="BC77" s="164">
        <f t="shared" si="28"/>
        <v>2</v>
      </c>
      <c r="BD77" s="164">
        <f t="shared" si="28"/>
        <v>1</v>
      </c>
      <c r="BE77" s="164">
        <f t="shared" si="28"/>
        <v>1</v>
      </c>
      <c r="BF77" s="164">
        <f t="shared" si="28"/>
        <v>1</v>
      </c>
      <c r="BG77" s="164">
        <f t="shared" si="28"/>
        <v>2</v>
      </c>
      <c r="BH77" s="164">
        <f t="shared" si="28"/>
        <v>1</v>
      </c>
      <c r="BI77" s="164">
        <f t="shared" si="28"/>
        <v>1</v>
      </c>
      <c r="BJ77" s="164">
        <f t="shared" si="28"/>
        <v>1</v>
      </c>
      <c r="BK77" s="164">
        <f t="shared" si="28"/>
        <v>2</v>
      </c>
      <c r="BL77" s="164">
        <f t="shared" si="28"/>
        <v>1</v>
      </c>
      <c r="BM77" s="164">
        <f t="shared" si="28"/>
        <v>1</v>
      </c>
      <c r="BN77" s="164">
        <f t="shared" si="28"/>
        <v>1</v>
      </c>
      <c r="BO77" s="164">
        <f t="shared" si="28"/>
        <v>2</v>
      </c>
      <c r="BP77" s="164">
        <f t="shared" si="28"/>
        <v>1</v>
      </c>
      <c r="BQ77" s="164">
        <f t="shared" si="28"/>
        <v>1</v>
      </c>
      <c r="BR77" s="88"/>
      <c r="BS77" s="88"/>
      <c r="BT77" s="88"/>
      <c r="BU77" s="88"/>
      <c r="BV77" s="143"/>
      <c r="BW77" s="12"/>
    </row>
    <row r="78" spans="16:75" x14ac:dyDescent="0.25">
      <c r="P78" s="68"/>
      <c r="Q78" s="168"/>
      <c r="R78" s="164"/>
      <c r="S78" s="164" t="s">
        <v>93</v>
      </c>
      <c r="T78" s="164">
        <f>IF(T73=1,1,0)</f>
        <v>0</v>
      </c>
      <c r="U78" s="164">
        <f t="shared" ref="U78:AZ78" si="29">IF(AND(U73=1,T73=1),T78+1,1)</f>
        <v>1</v>
      </c>
      <c r="V78" s="164">
        <f t="shared" si="29"/>
        <v>2</v>
      </c>
      <c r="W78" s="164">
        <f t="shared" si="29"/>
        <v>1</v>
      </c>
      <c r="X78" s="164">
        <f t="shared" si="29"/>
        <v>1</v>
      </c>
      <c r="Y78" s="164">
        <f t="shared" si="29"/>
        <v>1</v>
      </c>
      <c r="Z78" s="164">
        <f t="shared" si="29"/>
        <v>2</v>
      </c>
      <c r="AA78" s="164">
        <f t="shared" si="29"/>
        <v>1</v>
      </c>
      <c r="AB78" s="164">
        <f t="shared" si="29"/>
        <v>1</v>
      </c>
      <c r="AC78" s="164">
        <f t="shared" si="29"/>
        <v>1</v>
      </c>
      <c r="AD78" s="164">
        <f t="shared" si="29"/>
        <v>2</v>
      </c>
      <c r="AE78" s="164">
        <f t="shared" si="29"/>
        <v>1</v>
      </c>
      <c r="AF78" s="164">
        <f t="shared" si="29"/>
        <v>1</v>
      </c>
      <c r="AG78" s="164">
        <f t="shared" si="29"/>
        <v>1</v>
      </c>
      <c r="AH78" s="164">
        <f t="shared" si="29"/>
        <v>2</v>
      </c>
      <c r="AI78" s="164">
        <f t="shared" si="29"/>
        <v>1</v>
      </c>
      <c r="AJ78" s="164">
        <f t="shared" si="29"/>
        <v>1</v>
      </c>
      <c r="AK78" s="164">
        <f t="shared" si="29"/>
        <v>1</v>
      </c>
      <c r="AL78" s="164">
        <f t="shared" si="29"/>
        <v>2</v>
      </c>
      <c r="AM78" s="164">
        <f t="shared" si="29"/>
        <v>1</v>
      </c>
      <c r="AN78" s="164">
        <f t="shared" si="29"/>
        <v>1</v>
      </c>
      <c r="AO78" s="164">
        <f t="shared" si="29"/>
        <v>1</v>
      </c>
      <c r="AP78" s="164">
        <f t="shared" si="29"/>
        <v>2</v>
      </c>
      <c r="AQ78" s="164">
        <f t="shared" si="29"/>
        <v>1</v>
      </c>
      <c r="AR78" s="164">
        <f t="shared" si="29"/>
        <v>1</v>
      </c>
      <c r="AS78" s="164">
        <f t="shared" si="29"/>
        <v>1</v>
      </c>
      <c r="AT78" s="164">
        <f t="shared" si="29"/>
        <v>1</v>
      </c>
      <c r="AU78" s="164">
        <f t="shared" si="29"/>
        <v>1</v>
      </c>
      <c r="AV78" s="164">
        <f t="shared" si="29"/>
        <v>1</v>
      </c>
      <c r="AW78" s="164">
        <f t="shared" si="29"/>
        <v>2</v>
      </c>
      <c r="AX78" s="164">
        <f t="shared" si="29"/>
        <v>1</v>
      </c>
      <c r="AY78" s="164">
        <f t="shared" si="29"/>
        <v>1</v>
      </c>
      <c r="AZ78" s="164">
        <f t="shared" si="29"/>
        <v>1</v>
      </c>
      <c r="BA78" s="164">
        <f t="shared" ref="BA78:BQ78" si="30">IF(AND(BA73=1,AZ73=1),AZ78+1,1)</f>
        <v>2</v>
      </c>
      <c r="BB78" s="164">
        <f t="shared" si="30"/>
        <v>1</v>
      </c>
      <c r="BC78" s="164">
        <f t="shared" si="30"/>
        <v>1</v>
      </c>
      <c r="BD78" s="164">
        <f t="shared" si="30"/>
        <v>1</v>
      </c>
      <c r="BE78" s="164">
        <f t="shared" si="30"/>
        <v>2</v>
      </c>
      <c r="BF78" s="164">
        <f t="shared" si="30"/>
        <v>1</v>
      </c>
      <c r="BG78" s="164">
        <f t="shared" si="30"/>
        <v>1</v>
      </c>
      <c r="BH78" s="164">
        <f t="shared" si="30"/>
        <v>1</v>
      </c>
      <c r="BI78" s="164">
        <f t="shared" si="30"/>
        <v>2</v>
      </c>
      <c r="BJ78" s="164">
        <f t="shared" si="30"/>
        <v>1</v>
      </c>
      <c r="BK78" s="164">
        <f t="shared" si="30"/>
        <v>1</v>
      </c>
      <c r="BL78" s="164">
        <f t="shared" si="30"/>
        <v>1</v>
      </c>
      <c r="BM78" s="164">
        <f t="shared" si="30"/>
        <v>2</v>
      </c>
      <c r="BN78" s="164">
        <f t="shared" si="30"/>
        <v>1</v>
      </c>
      <c r="BO78" s="164">
        <f t="shared" si="30"/>
        <v>1</v>
      </c>
      <c r="BP78" s="164">
        <f t="shared" si="30"/>
        <v>1</v>
      </c>
      <c r="BQ78" s="164">
        <f t="shared" si="30"/>
        <v>1</v>
      </c>
      <c r="BR78" s="88"/>
      <c r="BS78" s="88"/>
      <c r="BT78" s="88"/>
      <c r="BU78" s="88"/>
      <c r="BV78" s="143"/>
      <c r="BW78" s="12"/>
    </row>
    <row r="79" spans="16:75" x14ac:dyDescent="0.25">
      <c r="P79" s="68"/>
      <c r="Q79" s="168"/>
      <c r="R79" s="164"/>
      <c r="S79" s="164"/>
      <c r="T79" s="164"/>
      <c r="U79" s="164"/>
      <c r="V79" s="164"/>
      <c r="W79" s="164"/>
      <c r="X79" s="164"/>
      <c r="Y79" s="164"/>
      <c r="Z79" s="164"/>
      <c r="AA79" s="164"/>
      <c r="AB79" s="164"/>
      <c r="AC79" s="164"/>
      <c r="AD79" s="164"/>
      <c r="AE79" s="164"/>
      <c r="AF79" s="164"/>
      <c r="AG79" s="164"/>
      <c r="AH79" s="164"/>
      <c r="AI79" s="164"/>
      <c r="AJ79" s="164"/>
      <c r="AK79" s="164"/>
      <c r="AL79" s="164"/>
      <c r="AM79" s="164"/>
      <c r="AN79" s="164"/>
      <c r="AO79" s="164"/>
      <c r="AP79" s="164"/>
      <c r="AQ79" s="164"/>
      <c r="AR79" s="164"/>
      <c r="AS79" s="164"/>
      <c r="AT79" s="88"/>
      <c r="AU79" s="88"/>
      <c r="AV79" s="88"/>
      <c r="AW79" s="88"/>
      <c r="AX79" s="88"/>
      <c r="AY79" s="88"/>
      <c r="AZ79" s="88"/>
      <c r="BA79" s="88"/>
      <c r="BB79" s="88"/>
      <c r="BC79" s="88"/>
      <c r="BD79" s="88"/>
      <c r="BE79" s="88"/>
      <c r="BF79" s="88"/>
      <c r="BG79" s="88"/>
      <c r="BH79" s="88"/>
      <c r="BI79" s="88"/>
      <c r="BJ79" s="88"/>
      <c r="BK79" s="88"/>
      <c r="BL79" s="88"/>
      <c r="BM79" s="88"/>
      <c r="BN79" s="88"/>
      <c r="BO79" s="88"/>
      <c r="BP79" s="88"/>
      <c r="BQ79" s="88"/>
      <c r="BR79" s="88"/>
      <c r="BS79" s="88"/>
      <c r="BT79" s="88"/>
      <c r="BU79" s="88"/>
      <c r="BV79" s="143"/>
      <c r="BW79" s="12"/>
    </row>
    <row r="80" spans="16:75" x14ac:dyDescent="0.25">
      <c r="P80" s="68"/>
      <c r="Q80" s="168"/>
      <c r="R80" s="164"/>
      <c r="S80" s="164" t="s">
        <v>96</v>
      </c>
      <c r="T80" s="164">
        <f>MAX(T75:BQ75)</f>
        <v>1</v>
      </c>
      <c r="U80" s="26" t="str">
        <f>TEXT(T80,0)</f>
        <v>1</v>
      </c>
      <c r="V80" s="164" t="s">
        <v>97</v>
      </c>
      <c r="W80" s="164"/>
      <c r="X80" s="164"/>
      <c r="Y80" s="164"/>
      <c r="Z80" s="164"/>
      <c r="AA80" s="164"/>
      <c r="AB80" s="164"/>
      <c r="AC80" s="164"/>
      <c r="AD80" s="164"/>
      <c r="AE80" s="164"/>
      <c r="AF80" s="164"/>
      <c r="AG80" s="164"/>
      <c r="AH80" s="164"/>
      <c r="AI80" s="164"/>
      <c r="AJ80" s="164"/>
      <c r="AK80" s="164"/>
      <c r="AL80" s="164"/>
      <c r="AM80" s="164"/>
      <c r="AN80" s="164"/>
      <c r="AO80" s="164"/>
      <c r="AP80" s="164"/>
      <c r="AQ80" s="164"/>
      <c r="AR80" s="164"/>
      <c r="AS80" s="164"/>
      <c r="AT80" s="88"/>
      <c r="AU80" s="88"/>
      <c r="AV80" s="88"/>
      <c r="AW80" s="88"/>
      <c r="AX80" s="88"/>
      <c r="AY80" s="88"/>
      <c r="AZ80" s="88"/>
      <c r="BA80" s="88"/>
      <c r="BB80" s="88"/>
      <c r="BC80" s="88"/>
      <c r="BD80" s="88"/>
      <c r="BE80" s="88"/>
      <c r="BF80" s="88"/>
      <c r="BG80" s="88"/>
      <c r="BH80" s="88"/>
      <c r="BI80" s="88"/>
      <c r="BJ80" s="88"/>
      <c r="BK80" s="88"/>
      <c r="BL80" s="88"/>
      <c r="BM80" s="88"/>
      <c r="BN80" s="88"/>
      <c r="BO80" s="88"/>
      <c r="BP80" s="88"/>
      <c r="BQ80" s="88"/>
      <c r="BR80" s="88"/>
      <c r="BS80" s="88"/>
      <c r="BT80" s="88"/>
      <c r="BU80" s="88"/>
      <c r="BV80" s="143"/>
      <c r="BW80" s="12"/>
    </row>
    <row r="81" spans="16:98" x14ac:dyDescent="0.25">
      <c r="P81" s="68"/>
      <c r="Q81" s="168"/>
      <c r="R81" s="164"/>
      <c r="S81" s="164" t="s">
        <v>99</v>
      </c>
      <c r="T81" s="164">
        <f>MAX(T76:BQ76)</f>
        <v>2</v>
      </c>
      <c r="U81" s="26" t="str">
        <f>TEXT(T81,0)</f>
        <v>2</v>
      </c>
      <c r="V81" s="164" t="s">
        <v>100</v>
      </c>
      <c r="W81" s="164"/>
      <c r="X81" s="164"/>
      <c r="Y81" s="164"/>
      <c r="Z81" s="164"/>
      <c r="AA81" s="164"/>
      <c r="AB81" s="164"/>
      <c r="AC81" s="164"/>
      <c r="AD81" s="164"/>
      <c r="AE81" s="164"/>
      <c r="AF81" s="164"/>
      <c r="AG81" s="164"/>
      <c r="AH81" s="164"/>
      <c r="AI81" s="164"/>
      <c r="AJ81" s="164"/>
      <c r="AK81" s="164"/>
      <c r="AL81" s="164"/>
      <c r="AM81" s="164"/>
      <c r="AN81" s="164"/>
      <c r="AO81" s="164"/>
      <c r="AP81" s="164"/>
      <c r="AQ81" s="164"/>
      <c r="AR81" s="164"/>
      <c r="AS81" s="164"/>
      <c r="AT81" s="88"/>
      <c r="AU81" s="88"/>
      <c r="AV81" s="88"/>
      <c r="AW81" s="88"/>
      <c r="AX81" s="88"/>
      <c r="AY81" s="88"/>
      <c r="AZ81" s="88"/>
      <c r="BA81" s="88"/>
      <c r="BB81" s="88"/>
      <c r="BC81" s="88"/>
      <c r="BD81" s="88"/>
      <c r="BE81" s="88"/>
      <c r="BF81" s="88"/>
      <c r="BG81" s="88"/>
      <c r="BH81" s="88"/>
      <c r="BI81" s="88"/>
      <c r="BJ81" s="88"/>
      <c r="BK81" s="88"/>
      <c r="BL81" s="88"/>
      <c r="BM81" s="88"/>
      <c r="BN81" s="88"/>
      <c r="BO81" s="88"/>
      <c r="BP81" s="88"/>
      <c r="BQ81" s="88"/>
      <c r="BR81" s="88"/>
      <c r="BS81" s="88"/>
      <c r="BT81" s="88"/>
      <c r="BU81" s="88"/>
      <c r="BV81" s="143"/>
      <c r="BW81" s="12"/>
    </row>
    <row r="82" spans="16:98" x14ac:dyDescent="0.25">
      <c r="P82" s="68"/>
      <c r="Q82" s="168"/>
      <c r="R82" s="164"/>
      <c r="S82" s="164" t="s">
        <v>102</v>
      </c>
      <c r="T82" s="164">
        <f>MAX(T77:BQ77)</f>
        <v>2</v>
      </c>
      <c r="U82" s="26" t="str">
        <f>TEXT(T82,0)</f>
        <v>2</v>
      </c>
      <c r="V82" s="164" t="s">
        <v>103</v>
      </c>
      <c r="W82" s="164"/>
      <c r="X82" s="164"/>
      <c r="Y82" s="164"/>
      <c r="Z82" s="164"/>
      <c r="AA82" s="164"/>
      <c r="AB82" s="164"/>
      <c r="AC82" s="164"/>
      <c r="AD82" s="164"/>
      <c r="AE82" s="164"/>
      <c r="AF82" s="164"/>
      <c r="AG82" s="164"/>
      <c r="AH82" s="164"/>
      <c r="AI82" s="164"/>
      <c r="AJ82" s="164"/>
      <c r="AK82" s="164"/>
      <c r="AL82" s="164"/>
      <c r="AM82" s="164"/>
      <c r="AN82" s="164"/>
      <c r="AO82" s="164"/>
      <c r="AP82" s="164"/>
      <c r="AQ82" s="164"/>
      <c r="AR82" s="164"/>
      <c r="AS82" s="164"/>
      <c r="AT82" s="88"/>
      <c r="AU82" s="88"/>
      <c r="AV82" s="88"/>
      <c r="AW82" s="88"/>
      <c r="AX82" s="88"/>
      <c r="AY82" s="88"/>
      <c r="AZ82" s="88"/>
      <c r="BA82" s="88"/>
      <c r="BB82" s="88"/>
      <c r="BC82" s="88"/>
      <c r="BD82" s="88"/>
      <c r="BE82" s="88"/>
      <c r="BF82" s="88"/>
      <c r="BG82" s="88"/>
      <c r="BH82" s="88"/>
      <c r="BI82" s="88"/>
      <c r="BJ82" s="88"/>
      <c r="BK82" s="88"/>
      <c r="BL82" s="88"/>
      <c r="BM82" s="88"/>
      <c r="BN82" s="88"/>
      <c r="BO82" s="88"/>
      <c r="BP82" s="88"/>
      <c r="BQ82" s="88"/>
      <c r="BR82" s="88"/>
      <c r="BS82" s="88"/>
      <c r="BT82" s="88"/>
      <c r="BU82" s="88"/>
      <c r="BV82" s="143"/>
      <c r="BW82" s="12"/>
    </row>
    <row r="83" spans="16:98" x14ac:dyDescent="0.25">
      <c r="P83" s="68"/>
      <c r="Q83" s="168"/>
      <c r="R83" s="164"/>
      <c r="S83" s="164" t="s">
        <v>104</v>
      </c>
      <c r="T83" s="164">
        <f>MAX(T78:BQ78)</f>
        <v>2</v>
      </c>
      <c r="U83" s="26" t="str">
        <f>TEXT(T83,0)</f>
        <v>2</v>
      </c>
      <c r="V83" s="164" t="s">
        <v>105</v>
      </c>
      <c r="W83" s="164"/>
      <c r="X83" s="164"/>
      <c r="Y83" s="164"/>
      <c r="Z83" s="164"/>
      <c r="AA83" s="164"/>
      <c r="AB83" s="164"/>
      <c r="AC83" s="164"/>
      <c r="AD83" s="164"/>
      <c r="AE83" s="164"/>
      <c r="AF83" s="164"/>
      <c r="AG83" s="164"/>
      <c r="AH83" s="164"/>
      <c r="AI83" s="164"/>
      <c r="AJ83" s="164"/>
      <c r="AK83" s="164"/>
      <c r="AL83" s="164"/>
      <c r="AM83" s="164"/>
      <c r="AN83" s="164"/>
      <c r="AO83" s="164"/>
      <c r="AP83" s="164"/>
      <c r="AQ83" s="164"/>
      <c r="AR83" s="164"/>
      <c r="AS83" s="164"/>
      <c r="AT83" s="88"/>
      <c r="AU83" s="88"/>
      <c r="AV83" s="88"/>
      <c r="AW83" s="88"/>
      <c r="AX83" s="88"/>
      <c r="AY83" s="88"/>
      <c r="AZ83" s="88"/>
      <c r="BA83" s="88"/>
      <c r="BB83" s="88"/>
      <c r="BC83" s="88"/>
      <c r="BD83" s="88"/>
      <c r="BE83" s="88"/>
      <c r="BF83" s="88"/>
      <c r="BG83" s="88"/>
      <c r="BH83" s="88"/>
      <c r="BI83" s="88"/>
      <c r="BJ83" s="88"/>
      <c r="BK83" s="88"/>
      <c r="BL83" s="88"/>
      <c r="BM83" s="88"/>
      <c r="BN83" s="88"/>
      <c r="BO83" s="88"/>
      <c r="BP83" s="88"/>
      <c r="BQ83" s="88"/>
      <c r="BR83" s="88"/>
      <c r="BS83" s="88"/>
      <c r="BT83" s="88"/>
      <c r="BU83" s="88"/>
      <c r="BV83" s="143"/>
      <c r="BW83" s="12"/>
    </row>
    <row r="84" spans="16:98" x14ac:dyDescent="0.25">
      <c r="P84" s="68"/>
      <c r="Q84" s="168"/>
      <c r="R84" s="164"/>
      <c r="S84" s="164"/>
      <c r="T84" s="164"/>
      <c r="U84" s="26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88"/>
      <c r="AU84" s="88"/>
      <c r="AV84" s="88"/>
      <c r="AW84" s="88"/>
      <c r="AX84" s="88"/>
      <c r="AY84" s="88"/>
      <c r="AZ84" s="88"/>
      <c r="BA84" s="88"/>
      <c r="BB84" s="88"/>
      <c r="BC84" s="88"/>
      <c r="BD84" s="88"/>
      <c r="BE84" s="88"/>
      <c r="BF84" s="88"/>
      <c r="BG84" s="88"/>
      <c r="BH84" s="88"/>
      <c r="BI84" s="88"/>
      <c r="BJ84" s="88"/>
      <c r="BK84" s="88"/>
      <c r="BL84" s="88"/>
      <c r="BM84" s="88"/>
      <c r="BN84" s="88"/>
      <c r="BO84" s="88"/>
      <c r="BP84" s="88"/>
      <c r="BQ84" s="88"/>
      <c r="BR84" s="88"/>
      <c r="BS84" s="88"/>
      <c r="BT84" s="88"/>
      <c r="BU84" s="88"/>
      <c r="BV84" s="143"/>
      <c r="BW84" s="12"/>
    </row>
    <row r="85" spans="16:98" ht="13.8" thickBot="1" x14ac:dyDescent="0.3">
      <c r="P85" s="68"/>
      <c r="Q85" s="168"/>
      <c r="R85" s="164"/>
      <c r="S85" s="164"/>
      <c r="T85" s="164">
        <f>IF(Formule!$K$1=1,1,NA())</f>
        <v>1</v>
      </c>
      <c r="U85" s="164" t="e">
        <f>IF(Formule!$K$1=2,2,NA())</f>
        <v>#N/A</v>
      </c>
      <c r="V85" s="164" t="e">
        <f>IF(Formule!$K$1=3,3,NA())</f>
        <v>#N/A</v>
      </c>
      <c r="W85" s="164"/>
      <c r="X85" s="164"/>
      <c r="Y85" s="164"/>
      <c r="Z85" s="164"/>
      <c r="AA85" s="164"/>
      <c r="AB85" s="164"/>
      <c r="AC85" s="164"/>
      <c r="AD85" s="164"/>
      <c r="AE85" s="164"/>
      <c r="AF85" s="164"/>
      <c r="AG85" s="164"/>
      <c r="AH85" s="164"/>
      <c r="AI85" s="164"/>
      <c r="AJ85" s="164"/>
      <c r="AK85" s="164"/>
      <c r="AL85" s="164"/>
      <c r="AM85" s="164"/>
      <c r="AN85" s="164"/>
      <c r="AO85" s="164"/>
      <c r="AP85" s="164"/>
      <c r="AQ85" s="164"/>
      <c r="AR85" s="164"/>
      <c r="AS85" s="164"/>
      <c r="AT85" s="88"/>
      <c r="AU85" s="88"/>
      <c r="AV85" s="88"/>
      <c r="AW85" s="88"/>
      <c r="AX85" s="88"/>
      <c r="AY85" s="88"/>
      <c r="AZ85" s="88"/>
      <c r="BA85" s="88"/>
      <c r="BB85" s="88"/>
      <c r="BC85" s="88"/>
      <c r="BD85" s="88"/>
      <c r="BE85" s="88"/>
      <c r="BF85" s="88"/>
      <c r="BG85" s="88"/>
      <c r="BH85" s="88"/>
      <c r="BI85" s="88"/>
      <c r="BJ85" s="88"/>
      <c r="BK85" s="88"/>
      <c r="BL85" s="88"/>
      <c r="BM85" s="88"/>
      <c r="BN85" s="88"/>
      <c r="BO85" s="88"/>
      <c r="BP85" s="88"/>
      <c r="BQ85" s="88"/>
      <c r="BR85" s="88"/>
      <c r="BS85" s="88"/>
      <c r="BT85" s="88"/>
      <c r="BU85" s="88"/>
      <c r="BV85" s="143"/>
      <c r="BW85" s="12"/>
    </row>
    <row r="86" spans="16:98" x14ac:dyDescent="0.25">
      <c r="P86" s="68"/>
      <c r="Q86" s="168"/>
      <c r="R86" s="164" t="s">
        <v>180</v>
      </c>
      <c r="S86" s="164" t="s">
        <v>177</v>
      </c>
      <c r="T86" s="204">
        <f>IF(ISERROR(AND($T$85,(AVERAGE(SPC!C32:C36)))),NA(),AVERAGE(SPC!C32:C36))</f>
        <v>17.223772299417032</v>
      </c>
      <c r="U86" s="205">
        <f>IF(ISERROR(AND($T$85,(AVERAGE(SPC!D32:D36)))),NA(),AVERAGE(SPC!D32:D36))</f>
        <v>17.232445480875615</v>
      </c>
      <c r="V86" s="205">
        <f>IF(ISERROR(AND($T$85,(AVERAGE(SPC!E32:E36)))),NA(),AVERAGE(SPC!E32:E36))</f>
        <v>17.222663910821439</v>
      </c>
      <c r="W86" s="205">
        <f>IF(ISERROR(AND($T$85,(AVERAGE(SPC!F32:F36)))),NA(),AVERAGE(SPC!F32:F36))</f>
        <v>17.236359515325198</v>
      </c>
      <c r="X86" s="205">
        <f>IF(ISERROR(AND($T$85,(AVERAGE(SPC!G32:G36)))),NA(),AVERAGE(SPC!G32:G36))</f>
        <v>17.223772299417032</v>
      </c>
      <c r="Y86" s="205">
        <f>IF(ISERROR(AND($T$85,(AVERAGE(SPC!H32:H36)))),NA(),AVERAGE(SPC!H32:H36))</f>
        <v>17.232445480875615</v>
      </c>
      <c r="Z86" s="205">
        <f>IF(ISERROR(AND($T$85,(AVERAGE(SPC!I32:I36)))),NA(),AVERAGE(SPC!I32:I36))</f>
        <v>17.222663910821439</v>
      </c>
      <c r="AA86" s="205">
        <f>IF(ISERROR(AND($T$85,(AVERAGE(SPC!J32:J36)))),NA(),AVERAGE(SPC!J32:J36))</f>
        <v>17.236359515325198</v>
      </c>
      <c r="AB86" s="205">
        <f>IF(ISERROR(AND($T$85,(AVERAGE(SPC!K32:K36)))),NA(),AVERAGE(SPC!K32:K36))</f>
        <v>17.223772299417032</v>
      </c>
      <c r="AC86" s="205">
        <f>IF(ISERROR(AND($T$85,(AVERAGE(SPC!L32:L36)))),NA(),AVERAGE(SPC!L32:L36))</f>
        <v>17.232445480875615</v>
      </c>
      <c r="AD86" s="205">
        <f>IF(ISERROR(AND($T$85,(AVERAGE(SPC!M32:M36)))),NA(),AVERAGE(SPC!M32:M36))</f>
        <v>17.222663910821439</v>
      </c>
      <c r="AE86" s="205">
        <f>IF(ISERROR(AND($T$85,(AVERAGE(SPC!N32:N36)))),NA(),AVERAGE(SPC!N32:N36))</f>
        <v>17.236359515325198</v>
      </c>
      <c r="AF86" s="205">
        <f>IF(ISERROR(AND($T$85,(AVERAGE(SPC!O32:O36)))),NA(),AVERAGE(SPC!O32:O36))</f>
        <v>17.223772299417032</v>
      </c>
      <c r="AG86" s="205">
        <f>IF(ISERROR(AND($T$85,(AVERAGE(SPC!P32:P36)))),NA(),AVERAGE(SPC!P32:P36))</f>
        <v>17.232445480875615</v>
      </c>
      <c r="AH86" s="205">
        <f>IF(ISERROR(AND($T$85,(AVERAGE(SPC!Q32:Q36)))),NA(),AVERAGE(SPC!Q32:Q36))</f>
        <v>17.222663910821439</v>
      </c>
      <c r="AI86" s="205">
        <f>IF(ISERROR(AND($T$85,(AVERAGE(SPC!R32:R36)))),NA(),AVERAGE(SPC!R32:R36))</f>
        <v>17.236359515325198</v>
      </c>
      <c r="AJ86" s="205">
        <f>IF(ISERROR(AND($T$85,(AVERAGE(SPC!S32:S36)))),NA(),AVERAGE(SPC!S32:S36))</f>
        <v>17.223772299417032</v>
      </c>
      <c r="AK86" s="205">
        <f>IF(ISERROR(AND($T$85,(AVERAGE(SPC!T32:T36)))),NA(),AVERAGE(SPC!T32:T36))</f>
        <v>17.232445480875615</v>
      </c>
      <c r="AL86" s="205">
        <f>IF(ISERROR(AND($T$85,(AVERAGE(SPC!U32:U36)))),NA(),AVERAGE(SPC!U32:U36))</f>
        <v>17.222663910821439</v>
      </c>
      <c r="AM86" s="205">
        <f>IF(ISERROR(AND($T$85,(AVERAGE(SPC!V32:V36)))),NA(),AVERAGE(SPC!V32:V36))</f>
        <v>17.236359515325198</v>
      </c>
      <c r="AN86" s="205">
        <f>IF(ISERROR(AND($T$85,(AVERAGE(SPC!W32:W36)))),NA(),AVERAGE(SPC!W32:W36))</f>
        <v>17.223772299417032</v>
      </c>
      <c r="AO86" s="205">
        <f>IF(ISERROR(AND($T$85,(AVERAGE(SPC!X32:X36)))),NA(),AVERAGE(SPC!X32:X36))</f>
        <v>17.232445480875615</v>
      </c>
      <c r="AP86" s="205">
        <f>IF(ISERROR(AND($T$85,(AVERAGE(SPC!Y32:Y36)))),NA(),AVERAGE(SPC!Y32:Y36))</f>
        <v>17.222663910821439</v>
      </c>
      <c r="AQ86" s="205">
        <f>IF(ISERROR(AND($T$85,(AVERAGE(SPC!Z32:Z36)))),NA(),AVERAGE(SPC!Z32:Z36))</f>
        <v>17.236359515325198</v>
      </c>
      <c r="AR86" s="205">
        <f>IF(ISERROR(AND($T$85,(AVERAGE(SPC!AA32:AA36)))),NA(),AVERAGE(SPC!AA32:AA36))</f>
        <v>17.223772299417032</v>
      </c>
      <c r="AS86" s="205">
        <f>IF(ISERROR(AND($T$85,(AVERAGE(SPC!AB32:AB36)))),NA(),AVERAGE(SPC!AB32:AB36))</f>
        <v>17.232445480875615</v>
      </c>
      <c r="AT86" s="205">
        <f>IF(ISERROR(AND($T$85,(AVERAGE(SPC!AC32:AC36)))),NA(),AVERAGE(SPC!AC32:AC36))</f>
        <v>17.222663910821439</v>
      </c>
      <c r="AU86" s="205">
        <f>IF(ISERROR(AND($T$85,(AVERAGE(SPC!AD32:AD36)))),NA(),AVERAGE(SPC!AD32:AD36))</f>
        <v>17.236359515325198</v>
      </c>
      <c r="AV86" s="205">
        <f>IF(ISERROR(AND($T$85,(AVERAGE(SPC!AE32:AE36)))),NA(),AVERAGE(SPC!AE32:AE36))</f>
        <v>17.223772299417032</v>
      </c>
      <c r="AW86" s="205">
        <f>IF(ISERROR(AND($T$85,(AVERAGE(SPC!AF32:AF36)))),NA(),AVERAGE(SPC!AF32:AF36))</f>
        <v>17.232445480875615</v>
      </c>
      <c r="AX86" s="205">
        <f>IF(ISERROR(AND($T$85,(AVERAGE(SPC!AG32:AG36)))),NA(),AVERAGE(SPC!AG32:AG36))</f>
        <v>17.222663910821439</v>
      </c>
      <c r="AY86" s="205">
        <f>IF(ISERROR(AND($T$85,(AVERAGE(SPC!AH32:AH36)))),NA(),AVERAGE(SPC!AH32:AH36))</f>
        <v>17.236359515325198</v>
      </c>
      <c r="AZ86" s="205">
        <f>IF(ISERROR(AND($T$85,(AVERAGE(SPC!AI32:AI36)))),NA(),AVERAGE(SPC!AI32:AI36))</f>
        <v>17.223772299417032</v>
      </c>
      <c r="BA86" s="205">
        <f>IF(ISERROR(AND($T$85,(AVERAGE(SPC!AJ32:AJ36)))),NA(),AVERAGE(SPC!AJ32:AJ36))</f>
        <v>17.232445480875615</v>
      </c>
      <c r="BB86" s="205">
        <f>IF(ISERROR(AND($T$85,(AVERAGE(SPC!AK32:AK36)))),NA(),AVERAGE(SPC!AK32:AK36))</f>
        <v>17.222663910821439</v>
      </c>
      <c r="BC86" s="205">
        <f>IF(ISERROR(AND($T$85,(AVERAGE(SPC!AL32:AL36)))),NA(),AVERAGE(SPC!AL32:AL36))</f>
        <v>17.236359515325198</v>
      </c>
      <c r="BD86" s="205">
        <f>IF(ISERROR(AND($T$85,(AVERAGE(SPC!AM32:AM36)))),NA(),AVERAGE(SPC!AM32:AM36))</f>
        <v>17.223772299417032</v>
      </c>
      <c r="BE86" s="205">
        <f>IF(ISERROR(AND($T$85,(AVERAGE(SPC!AN32:AN36)))),NA(),AVERAGE(SPC!AN32:AN36))</f>
        <v>17.232445480875615</v>
      </c>
      <c r="BF86" s="205">
        <f>IF(ISERROR(AND($T$85,(AVERAGE(SPC!AO32:AO36)))),NA(),AVERAGE(SPC!AO32:AO36))</f>
        <v>17.222663910821439</v>
      </c>
      <c r="BG86" s="205">
        <f>IF(ISERROR(AND($T$85,(AVERAGE(SPC!AP32:AP36)))),NA(),AVERAGE(SPC!AP32:AP36))</f>
        <v>17.236359515325198</v>
      </c>
      <c r="BH86" s="205">
        <f>IF(ISERROR(AND($T$85,(AVERAGE(SPC!AQ32:AQ36)))),NA(),AVERAGE(SPC!AQ32:AQ36))</f>
        <v>17.223772299417032</v>
      </c>
      <c r="BI86" s="205">
        <f>IF(ISERROR(AND($T$85,(AVERAGE(SPC!AR32:AR36)))),NA(),AVERAGE(SPC!AR32:AR36))</f>
        <v>17.232445480875615</v>
      </c>
      <c r="BJ86" s="205">
        <f>IF(ISERROR(AND($T$85,(AVERAGE(SPC!AS32:AS36)))),NA(),AVERAGE(SPC!AS32:AS36))</f>
        <v>17.222663910821439</v>
      </c>
      <c r="BK86" s="205">
        <f>IF(ISERROR(AND($T$85,(AVERAGE(SPC!AT32:AT36)))),NA(),AVERAGE(SPC!AT32:AT36))</f>
        <v>17.236359515325198</v>
      </c>
      <c r="BL86" s="205">
        <f>IF(ISERROR(AND($T$85,(AVERAGE(SPC!AU32:AU36)))),NA(),AVERAGE(SPC!AU32:AU36))</f>
        <v>17.223772299417032</v>
      </c>
      <c r="BM86" s="205">
        <f>IF(ISERROR(AND($T$85,(AVERAGE(SPC!AV32:AV36)))),NA(),AVERAGE(SPC!AV32:AV36))</f>
        <v>17.232445480875615</v>
      </c>
      <c r="BN86" s="205">
        <f>IF(ISERROR(AND($T$85,(AVERAGE(SPC!AW32:AW36)))),NA(),AVERAGE(SPC!AW32:AW36))</f>
        <v>17.222663910821439</v>
      </c>
      <c r="BO86" s="205">
        <f>IF(ISERROR(AND($T$85,(AVERAGE(SPC!AX32:AX36)))),NA(),AVERAGE(SPC!AX32:AX36))</f>
        <v>17.236359515325198</v>
      </c>
      <c r="BP86" s="205">
        <f>IF(ISERROR(AND($T$85,(AVERAGE(SPC!AY32:AY36)))),NA(),AVERAGE(SPC!AY32:AY36))</f>
        <v>17.223772299417032</v>
      </c>
      <c r="BQ86" s="205">
        <f>IF(ISERROR(AND($T$85,(AVERAGE(SPC!AZ32:AZ36)))),NA(),AVERAGE(SPC!AZ32:AZ36))</f>
        <v>17.232445480875615</v>
      </c>
      <c r="BR86" s="205" t="e">
        <f>IF(ISERROR(AND($T$85,(AVERAGE(P37:P41)))),NA(),AVERAGE(P37:P41))</f>
        <v>#N/A</v>
      </c>
      <c r="BS86" s="205"/>
      <c r="BT86" s="205"/>
      <c r="BU86" s="138"/>
      <c r="BV86" s="139"/>
      <c r="BW86" s="138"/>
      <c r="BX86" s="136"/>
      <c r="BY86" s="136"/>
      <c r="BZ86" s="136"/>
      <c r="CA86" s="136"/>
      <c r="CB86" s="136"/>
      <c r="CC86" s="136"/>
      <c r="CD86" s="136"/>
      <c r="CE86" s="136"/>
      <c r="CF86" s="136"/>
      <c r="CG86" s="136"/>
      <c r="CH86" s="136"/>
      <c r="CI86" s="136"/>
      <c r="CJ86" s="136"/>
      <c r="CK86" s="136"/>
      <c r="CL86" s="136"/>
      <c r="CM86" s="136"/>
      <c r="CN86" s="136"/>
      <c r="CO86" s="136"/>
      <c r="CP86" s="136"/>
      <c r="CQ86" s="136"/>
      <c r="CR86" s="136"/>
      <c r="CS86" s="136"/>
      <c r="CT86" s="191"/>
    </row>
    <row r="87" spans="16:98" x14ac:dyDescent="0.25">
      <c r="P87" s="68"/>
      <c r="Q87" s="168"/>
      <c r="R87" s="88"/>
      <c r="S87" s="164" t="s">
        <v>178</v>
      </c>
      <c r="T87" s="206" t="e">
        <f t="shared" ref="T87:AY87" si="31">IF(ISERROR(AND($U$85,T88)),NA(),T88)</f>
        <v>#N/A</v>
      </c>
      <c r="U87" s="169" t="e">
        <f t="shared" si="31"/>
        <v>#N/A</v>
      </c>
      <c r="V87" s="169" t="e">
        <f t="shared" si="31"/>
        <v>#N/A</v>
      </c>
      <c r="W87" s="169" t="e">
        <f t="shared" si="31"/>
        <v>#N/A</v>
      </c>
      <c r="X87" s="169" t="e">
        <f t="shared" si="31"/>
        <v>#N/A</v>
      </c>
      <c r="Y87" s="169" t="e">
        <f t="shared" si="31"/>
        <v>#N/A</v>
      </c>
      <c r="Z87" s="169" t="e">
        <f t="shared" si="31"/>
        <v>#N/A</v>
      </c>
      <c r="AA87" s="169" t="e">
        <f t="shared" si="31"/>
        <v>#N/A</v>
      </c>
      <c r="AB87" s="169" t="e">
        <f t="shared" si="31"/>
        <v>#N/A</v>
      </c>
      <c r="AC87" s="169" t="e">
        <f t="shared" si="31"/>
        <v>#N/A</v>
      </c>
      <c r="AD87" s="169" t="e">
        <f t="shared" si="31"/>
        <v>#N/A</v>
      </c>
      <c r="AE87" s="169" t="e">
        <f t="shared" si="31"/>
        <v>#N/A</v>
      </c>
      <c r="AF87" s="169" t="e">
        <f t="shared" si="31"/>
        <v>#N/A</v>
      </c>
      <c r="AG87" s="169" t="e">
        <f t="shared" si="31"/>
        <v>#N/A</v>
      </c>
      <c r="AH87" s="169" t="e">
        <f t="shared" si="31"/>
        <v>#N/A</v>
      </c>
      <c r="AI87" s="169" t="e">
        <f t="shared" si="31"/>
        <v>#N/A</v>
      </c>
      <c r="AJ87" s="169" t="e">
        <f t="shared" si="31"/>
        <v>#N/A</v>
      </c>
      <c r="AK87" s="169" t="e">
        <f t="shared" si="31"/>
        <v>#N/A</v>
      </c>
      <c r="AL87" s="169" t="e">
        <f t="shared" si="31"/>
        <v>#N/A</v>
      </c>
      <c r="AM87" s="169" t="e">
        <f t="shared" si="31"/>
        <v>#N/A</v>
      </c>
      <c r="AN87" s="169" t="e">
        <f t="shared" si="31"/>
        <v>#N/A</v>
      </c>
      <c r="AO87" s="169" t="e">
        <f t="shared" si="31"/>
        <v>#N/A</v>
      </c>
      <c r="AP87" s="169" t="e">
        <f t="shared" si="31"/>
        <v>#N/A</v>
      </c>
      <c r="AQ87" s="169" t="e">
        <f t="shared" si="31"/>
        <v>#N/A</v>
      </c>
      <c r="AR87" s="169" t="e">
        <f t="shared" si="31"/>
        <v>#N/A</v>
      </c>
      <c r="AS87" s="169" t="e">
        <f t="shared" si="31"/>
        <v>#N/A</v>
      </c>
      <c r="AT87" s="169" t="e">
        <f t="shared" si="31"/>
        <v>#N/A</v>
      </c>
      <c r="AU87" s="169" t="e">
        <f t="shared" si="31"/>
        <v>#N/A</v>
      </c>
      <c r="AV87" s="169" t="e">
        <f t="shared" si="31"/>
        <v>#N/A</v>
      </c>
      <c r="AW87" s="169" t="e">
        <f t="shared" si="31"/>
        <v>#N/A</v>
      </c>
      <c r="AX87" s="169" t="e">
        <f t="shared" si="31"/>
        <v>#N/A</v>
      </c>
      <c r="AY87" s="169" t="e">
        <f t="shared" si="31"/>
        <v>#N/A</v>
      </c>
      <c r="AZ87" s="169" t="e">
        <f t="shared" ref="AZ87:BR87" si="32">IF(ISERROR(AND($U$85,AZ88)),NA(),AZ88)</f>
        <v>#N/A</v>
      </c>
      <c r="BA87" s="169" t="e">
        <f t="shared" si="32"/>
        <v>#N/A</v>
      </c>
      <c r="BB87" s="169" t="e">
        <f t="shared" si="32"/>
        <v>#N/A</v>
      </c>
      <c r="BC87" s="169" t="e">
        <f t="shared" si="32"/>
        <v>#N/A</v>
      </c>
      <c r="BD87" s="169" t="e">
        <f t="shared" si="32"/>
        <v>#N/A</v>
      </c>
      <c r="BE87" s="169" t="e">
        <f t="shared" si="32"/>
        <v>#N/A</v>
      </c>
      <c r="BF87" s="169" t="e">
        <f t="shared" si="32"/>
        <v>#N/A</v>
      </c>
      <c r="BG87" s="169" t="e">
        <f t="shared" si="32"/>
        <v>#N/A</v>
      </c>
      <c r="BH87" s="169" t="e">
        <f t="shared" si="32"/>
        <v>#N/A</v>
      </c>
      <c r="BI87" s="169" t="e">
        <f t="shared" si="32"/>
        <v>#N/A</v>
      </c>
      <c r="BJ87" s="169" t="e">
        <f t="shared" si="32"/>
        <v>#N/A</v>
      </c>
      <c r="BK87" s="169" t="e">
        <f t="shared" si="32"/>
        <v>#N/A</v>
      </c>
      <c r="BL87" s="169" t="e">
        <f t="shared" si="32"/>
        <v>#N/A</v>
      </c>
      <c r="BM87" s="169" t="e">
        <f t="shared" si="32"/>
        <v>#N/A</v>
      </c>
      <c r="BN87" s="169" t="e">
        <f t="shared" si="32"/>
        <v>#N/A</v>
      </c>
      <c r="BO87" s="169" t="e">
        <f t="shared" si="32"/>
        <v>#N/A</v>
      </c>
      <c r="BP87" s="169" t="e">
        <f t="shared" si="32"/>
        <v>#N/A</v>
      </c>
      <c r="BQ87" s="169" t="e">
        <f t="shared" si="32"/>
        <v>#N/A</v>
      </c>
      <c r="BR87" s="169" t="e">
        <f t="shared" si="32"/>
        <v>#N/A</v>
      </c>
      <c r="BS87" s="169"/>
      <c r="BT87" s="169"/>
      <c r="BU87" s="88"/>
      <c r="BV87" s="143"/>
      <c r="BW87" s="88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149"/>
    </row>
    <row r="88" spans="16:98" x14ac:dyDescent="0.25">
      <c r="P88" s="68"/>
      <c r="Q88" s="168"/>
      <c r="R88" s="88"/>
      <c r="S88" s="88"/>
      <c r="T88" s="144">
        <f>IF(SPC!C32="",NA(),SPC!C32)</f>
        <v>17.220028664169543</v>
      </c>
      <c r="U88" s="88">
        <f>IF(SPC!D32="",NA(),SPC!D32)</f>
        <v>17.240653196154813</v>
      </c>
      <c r="V88" s="88">
        <f>IF(SPC!E32="",NA(),SPC!E32)</f>
        <v>17.232388684200718</v>
      </c>
      <c r="W88" s="88">
        <f>IF(SPC!F32="",NA(),SPC!F32)</f>
        <v>17.228710381748794</v>
      </c>
      <c r="X88" s="88">
        <f>IF(SPC!G32="",NA(),SPC!G32)</f>
        <v>17.220028664169543</v>
      </c>
      <c r="Y88" s="88">
        <f>IF(SPC!H32="",NA(),SPC!H32)</f>
        <v>17.240653196154813</v>
      </c>
      <c r="Z88" s="88">
        <f>IF(SPC!I32="",NA(),SPC!I32)</f>
        <v>17.232388684200718</v>
      </c>
      <c r="AA88" s="88">
        <f>IF(SPC!J32="",NA(),SPC!J32)</f>
        <v>17.228710381748794</v>
      </c>
      <c r="AB88" s="88">
        <f>IF(SPC!K32="",NA(),SPC!K32)</f>
        <v>17.220028664169543</v>
      </c>
      <c r="AC88" s="88">
        <f>IF(SPC!L32="",NA(),SPC!L32)</f>
        <v>17.240653196154813</v>
      </c>
      <c r="AD88" s="88">
        <f>IF(SPC!M32="",NA(),SPC!M32)</f>
        <v>17.232388684200718</v>
      </c>
      <c r="AE88" s="88">
        <f>IF(SPC!N32="",NA(),SPC!N32)</f>
        <v>17.228710381748794</v>
      </c>
      <c r="AF88" s="88">
        <f>IF(SPC!O32="",NA(),SPC!O32)</f>
        <v>17.220028664169543</v>
      </c>
      <c r="AG88" s="88">
        <f>IF(SPC!P32="",NA(),SPC!P32)</f>
        <v>17.240653196154813</v>
      </c>
      <c r="AH88" s="88">
        <f>IF(SPC!Q32="",NA(),SPC!Q32)</f>
        <v>17.232388684200718</v>
      </c>
      <c r="AI88" s="88">
        <f>IF(SPC!R32="",NA(),SPC!R32)</f>
        <v>17.228710381748794</v>
      </c>
      <c r="AJ88" s="88">
        <f>IF(SPC!S32="",NA(),SPC!S32)</f>
        <v>17.220028664169543</v>
      </c>
      <c r="AK88" s="88">
        <f>IF(SPC!T32="",NA(),SPC!T32)</f>
        <v>17.240653196154813</v>
      </c>
      <c r="AL88" s="88">
        <f>IF(SPC!U32="",NA(),SPC!U32)</f>
        <v>17.232388684200718</v>
      </c>
      <c r="AM88" s="88">
        <f>IF(SPC!V32="",NA(),SPC!V32)</f>
        <v>17.228710381748794</v>
      </c>
      <c r="AN88" s="88">
        <f>IF(SPC!W32="",NA(),SPC!W32)</f>
        <v>17.220028664169543</v>
      </c>
      <c r="AO88" s="88">
        <f>IF(SPC!X32="",NA(),SPC!X32)</f>
        <v>17.240653196154813</v>
      </c>
      <c r="AP88" s="88">
        <f>IF(SPC!Y32="",NA(),SPC!Y32)</f>
        <v>17.232388684200718</v>
      </c>
      <c r="AQ88" s="88">
        <f>IF(SPC!Z32="",NA(),SPC!Z32)</f>
        <v>17.228710381748794</v>
      </c>
      <c r="AR88" s="88">
        <f>IF(SPC!AA32="",NA(),SPC!AA32)</f>
        <v>17.220028664169543</v>
      </c>
      <c r="AS88" s="88">
        <f>IF(SPC!AB32="",NA(),SPC!AB32)</f>
        <v>17.240653196154813</v>
      </c>
      <c r="AT88" s="88">
        <f>IF(SPC!AC32="",NA(),SPC!AC32)</f>
        <v>17.232388684200718</v>
      </c>
      <c r="AU88" s="88">
        <f>IF(SPC!AD32="",NA(),SPC!AD32)</f>
        <v>17.228710381748794</v>
      </c>
      <c r="AV88" s="88">
        <f>IF(SPC!AE32="",NA(),SPC!AE32)</f>
        <v>17.220028664169543</v>
      </c>
      <c r="AW88" s="88">
        <f>IF(SPC!AF32="",NA(),SPC!AF32)</f>
        <v>17.240653196154813</v>
      </c>
      <c r="AX88" s="88">
        <f>IF(SPC!AG32="",NA(),SPC!AG32)</f>
        <v>17.232388684200718</v>
      </c>
      <c r="AY88" s="88">
        <f>IF(SPC!AH32="",NA(),SPC!AH32)</f>
        <v>17.228710381748794</v>
      </c>
      <c r="AZ88" s="88">
        <f>IF(SPC!AI32="",NA(),SPC!AI32)</f>
        <v>17.220028664169543</v>
      </c>
      <c r="BA88" s="88">
        <f>IF(SPC!AJ32="",NA(),SPC!AJ32)</f>
        <v>17.240653196154813</v>
      </c>
      <c r="BB88" s="88">
        <f>IF(SPC!AK32="",NA(),SPC!AK32)</f>
        <v>17.232388684200718</v>
      </c>
      <c r="BC88" s="88">
        <f>IF(SPC!AL32="",NA(),SPC!AL32)</f>
        <v>17.228710381748794</v>
      </c>
      <c r="BD88" s="88">
        <f>IF(SPC!AM32="",NA(),SPC!AM32)</f>
        <v>17.220028664169543</v>
      </c>
      <c r="BE88" s="88">
        <f>IF(SPC!AN32="",NA(),SPC!AN32)</f>
        <v>17.240653196154813</v>
      </c>
      <c r="BF88" s="88">
        <f>IF(SPC!AO32="",NA(),SPC!AO32)</f>
        <v>17.232388684200718</v>
      </c>
      <c r="BG88" s="88">
        <f>IF(SPC!AP32="",NA(),SPC!AP32)</f>
        <v>17.228710381748794</v>
      </c>
      <c r="BH88" s="88">
        <f>IF(SPC!AQ32="",NA(),SPC!AQ32)</f>
        <v>17.220028664169543</v>
      </c>
      <c r="BI88" s="88">
        <f>IF(SPC!AR32="",NA(),SPC!AR32)</f>
        <v>17.240653196154813</v>
      </c>
      <c r="BJ88" s="88">
        <f>IF(SPC!AS32="",NA(),SPC!AS32)</f>
        <v>17.232388684200718</v>
      </c>
      <c r="BK88" s="88">
        <f>IF(SPC!AT32="",NA(),SPC!AT32)</f>
        <v>17.228710381748794</v>
      </c>
      <c r="BL88" s="88">
        <f>IF(SPC!AU32="",NA(),SPC!AU32)</f>
        <v>17.220028664169543</v>
      </c>
      <c r="BM88" s="88">
        <f>IF(SPC!AV32="",NA(),SPC!AV32)</f>
        <v>17.240653196154813</v>
      </c>
      <c r="BN88" s="88">
        <f>IF(SPC!AW32="",NA(),SPC!AW32)</f>
        <v>17.232388684200718</v>
      </c>
      <c r="BO88" s="88">
        <f>IF(SPC!AX32="",NA(),SPC!AX32)</f>
        <v>17.228710381748794</v>
      </c>
      <c r="BP88" s="88">
        <f>IF(SPC!AY32="",NA(),SPC!AY32)</f>
        <v>17.220028664169543</v>
      </c>
      <c r="BQ88" s="88">
        <f>IF(SPC!AZ32="",NA(),SPC!AZ32)</f>
        <v>17.240653196154813</v>
      </c>
      <c r="BR88" s="88" t="e">
        <f>IF(P37="",NA(),P37)</f>
        <v>#N/A</v>
      </c>
      <c r="BS88" s="88"/>
      <c r="BT88" s="88"/>
      <c r="BU88" s="88"/>
      <c r="BV88" s="143"/>
      <c r="BW88" s="88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149"/>
    </row>
    <row r="89" spans="16:98" x14ac:dyDescent="0.25">
      <c r="P89" s="10"/>
      <c r="Q89" s="168"/>
      <c r="R89" s="88"/>
      <c r="S89" s="164" t="s">
        <v>179</v>
      </c>
      <c r="T89" s="206" t="e">
        <f>IF(ISERROR(AND($V$85,MEDIAN(SPC!C32:C36))),NA(),MEDIAN(SPC!C32:C36))</f>
        <v>#N/A</v>
      </c>
      <c r="U89" s="169" t="e">
        <f>IF(ISERROR(AND($V$85,MEDIAN(SPC!D32:D36))),NA(),MEDIAN(SPC!D32:D36))</f>
        <v>#N/A</v>
      </c>
      <c r="V89" s="169" t="e">
        <f>IF(ISERROR(AND($V$85,MEDIAN(SPC!E32:E36))),NA(),MEDIAN(SPC!E32:E36))</f>
        <v>#N/A</v>
      </c>
      <c r="W89" s="169" t="e">
        <f>IF(ISERROR(AND($V$85,MEDIAN(SPC!F32:F36))),NA(),MEDIAN(SPC!F32:F36))</f>
        <v>#N/A</v>
      </c>
      <c r="X89" s="169" t="e">
        <f>IF(ISERROR(AND($V$85,MEDIAN(SPC!G32:G36))),NA(),MEDIAN(SPC!G32:G36))</f>
        <v>#N/A</v>
      </c>
      <c r="Y89" s="169" t="e">
        <f>IF(ISERROR(AND($V$85,MEDIAN(SPC!H32:H36))),NA(),MEDIAN(SPC!H32:H36))</f>
        <v>#N/A</v>
      </c>
      <c r="Z89" s="169" t="e">
        <f>IF(ISERROR(AND($V$85,MEDIAN(SPC!I32:I36))),NA(),MEDIAN(SPC!I32:I36))</f>
        <v>#N/A</v>
      </c>
      <c r="AA89" s="169" t="e">
        <f>IF(ISERROR(AND($V$85,MEDIAN(SPC!J32:J36))),NA(),MEDIAN(SPC!J32:J36))</f>
        <v>#N/A</v>
      </c>
      <c r="AB89" s="169" t="e">
        <f>IF(ISERROR(AND($V$85,MEDIAN(SPC!K32:K36))),NA(),MEDIAN(SPC!K32:K36))</f>
        <v>#N/A</v>
      </c>
      <c r="AC89" s="169" t="e">
        <f>IF(ISERROR(AND($V$85,MEDIAN(SPC!L32:L36))),NA(),MEDIAN(SPC!L32:L36))</f>
        <v>#N/A</v>
      </c>
      <c r="AD89" s="169" t="e">
        <f>IF(ISERROR(AND($V$85,MEDIAN(SPC!M32:M36))),NA(),MEDIAN(SPC!M32:M36))</f>
        <v>#N/A</v>
      </c>
      <c r="AE89" s="169" t="e">
        <f>IF(ISERROR(AND($V$85,MEDIAN(SPC!N32:N36))),NA(),MEDIAN(SPC!N32:N36))</f>
        <v>#N/A</v>
      </c>
      <c r="AF89" s="169" t="e">
        <f>IF(ISERROR(AND($V$85,MEDIAN(SPC!O32:O36))),NA(),MEDIAN(SPC!O32:O36))</f>
        <v>#N/A</v>
      </c>
      <c r="AG89" s="169" t="e">
        <f>IF(ISERROR(AND($V$85,MEDIAN(SPC!P32:P36))),NA(),MEDIAN(SPC!P32:P36))</f>
        <v>#N/A</v>
      </c>
      <c r="AH89" s="169" t="e">
        <f>IF(ISERROR(AND($V$85,MEDIAN(SPC!Q32:Q36))),NA(),MEDIAN(SPC!Q32:Q36))</f>
        <v>#N/A</v>
      </c>
      <c r="AI89" s="169" t="e">
        <f>IF(ISERROR(AND($V$85,MEDIAN(SPC!R32:R36))),NA(),MEDIAN(SPC!R32:R36))</f>
        <v>#N/A</v>
      </c>
      <c r="AJ89" s="169" t="e">
        <f>IF(ISERROR(AND($V$85,MEDIAN(SPC!S32:S36))),NA(),MEDIAN(SPC!S32:S36))</f>
        <v>#N/A</v>
      </c>
      <c r="AK89" s="169" t="e">
        <f>IF(ISERROR(AND($V$85,MEDIAN(SPC!T32:T36))),NA(),MEDIAN(SPC!T32:T36))</f>
        <v>#N/A</v>
      </c>
      <c r="AL89" s="169" t="e">
        <f>IF(ISERROR(AND($V$85,MEDIAN(SPC!U32:U36))),NA(),MEDIAN(SPC!U32:U36))</f>
        <v>#N/A</v>
      </c>
      <c r="AM89" s="169" t="e">
        <f>IF(ISERROR(AND($V$85,MEDIAN(SPC!V32:V36))),NA(),MEDIAN(SPC!V32:V36))</f>
        <v>#N/A</v>
      </c>
      <c r="AN89" s="169" t="e">
        <f>IF(ISERROR(AND($V$85,MEDIAN(SPC!W32:W36))),NA(),MEDIAN(SPC!W32:W36))</f>
        <v>#N/A</v>
      </c>
      <c r="AO89" s="169" t="e">
        <f>IF(ISERROR(AND($V$85,MEDIAN(SPC!X32:X36))),NA(),MEDIAN(SPC!X32:X36))</f>
        <v>#N/A</v>
      </c>
      <c r="AP89" s="169" t="e">
        <f>IF(ISERROR(AND($V$85,MEDIAN(SPC!Y32:Y36))),NA(),MEDIAN(SPC!Y32:Y36))</f>
        <v>#N/A</v>
      </c>
      <c r="AQ89" s="169" t="e">
        <f>IF(ISERROR(AND($V$85,MEDIAN(SPC!Z32:Z36))),NA(),MEDIAN(SPC!Z32:Z36))</f>
        <v>#N/A</v>
      </c>
      <c r="AR89" s="169" t="e">
        <f>IF(ISERROR(AND($V$85,MEDIAN(SPC!AA32:AA36))),NA(),MEDIAN(SPC!AA32:AA36))</f>
        <v>#N/A</v>
      </c>
      <c r="AS89" s="169" t="e">
        <f>IF(ISERROR(AND($V$85,MEDIAN(SPC!AB32:AB36))),NA(),MEDIAN(SPC!AB32:AB36))</f>
        <v>#N/A</v>
      </c>
      <c r="AT89" s="169" t="e">
        <f>IF(ISERROR(AND($V$85,MEDIAN(SPC!AC32:AC36))),NA(),MEDIAN(SPC!AC32:AC36))</f>
        <v>#N/A</v>
      </c>
      <c r="AU89" s="169" t="e">
        <f>IF(ISERROR(AND($V$85,MEDIAN(SPC!AD32:AD36))),NA(),MEDIAN(SPC!AD32:AD36))</f>
        <v>#N/A</v>
      </c>
      <c r="AV89" s="169" t="e">
        <f>IF(ISERROR(AND($V$85,MEDIAN(SPC!AE32:AE36))),NA(),MEDIAN(SPC!AE32:AE36))</f>
        <v>#N/A</v>
      </c>
      <c r="AW89" s="169" t="e">
        <f>IF(ISERROR(AND($V$85,MEDIAN(SPC!AF32:AF36))),NA(),MEDIAN(SPC!AF32:AF36))</f>
        <v>#N/A</v>
      </c>
      <c r="AX89" s="169" t="e">
        <f>IF(ISERROR(AND($V$85,MEDIAN(SPC!AG32:AG36))),NA(),MEDIAN(SPC!AG32:AG36))</f>
        <v>#N/A</v>
      </c>
      <c r="AY89" s="169" t="e">
        <f>IF(ISERROR(AND($V$85,MEDIAN(SPC!AH32:AH36))),NA(),MEDIAN(SPC!AH32:AH36))</f>
        <v>#N/A</v>
      </c>
      <c r="AZ89" s="169" t="e">
        <f>IF(ISERROR(AND($V$85,MEDIAN(SPC!AI32:AI36))),NA(),MEDIAN(SPC!AI32:AI36))</f>
        <v>#N/A</v>
      </c>
      <c r="BA89" s="169" t="e">
        <f>IF(ISERROR(AND($V$85,MEDIAN(SPC!AJ32:AJ36))),NA(),MEDIAN(SPC!AJ32:AJ36))</f>
        <v>#N/A</v>
      </c>
      <c r="BB89" s="169" t="e">
        <f>IF(ISERROR(AND($V$85,MEDIAN(SPC!AK32:AK36))),NA(),MEDIAN(SPC!AK32:AK36))</f>
        <v>#N/A</v>
      </c>
      <c r="BC89" s="169" t="e">
        <f>IF(ISERROR(AND($V$85,MEDIAN(SPC!AL32:AL36))),NA(),MEDIAN(SPC!AL32:AL36))</f>
        <v>#N/A</v>
      </c>
      <c r="BD89" s="169" t="e">
        <f>IF(ISERROR(AND($V$85,MEDIAN(SPC!AM32:AM36))),NA(),MEDIAN(SPC!AM32:AM36))</f>
        <v>#N/A</v>
      </c>
      <c r="BE89" s="169" t="e">
        <f>IF(ISERROR(AND($V$85,MEDIAN(SPC!AN32:AN36))),NA(),MEDIAN(SPC!AN32:AN36))</f>
        <v>#N/A</v>
      </c>
      <c r="BF89" s="169" t="e">
        <f>IF(ISERROR(AND($V$85,MEDIAN(SPC!AO32:AO36))),NA(),MEDIAN(SPC!AO32:AO36))</f>
        <v>#N/A</v>
      </c>
      <c r="BG89" s="169" t="e">
        <f>IF(ISERROR(AND($V$85,MEDIAN(SPC!AP32:AP36))),NA(),MEDIAN(SPC!AP32:AP36))</f>
        <v>#N/A</v>
      </c>
      <c r="BH89" s="169" t="e">
        <f>IF(ISERROR(AND($V$85,MEDIAN(SPC!AQ32:AQ36))),NA(),MEDIAN(SPC!AQ32:AQ36))</f>
        <v>#N/A</v>
      </c>
      <c r="BI89" s="169" t="e">
        <f>IF(ISERROR(AND($V$85,MEDIAN(SPC!AR32:AR36))),NA(),MEDIAN(SPC!AR32:AR36))</f>
        <v>#N/A</v>
      </c>
      <c r="BJ89" s="169" t="e">
        <f>IF(ISERROR(AND($V$85,MEDIAN(SPC!AS32:AS36))),NA(),MEDIAN(SPC!AS32:AS36))</f>
        <v>#N/A</v>
      </c>
      <c r="BK89" s="169" t="e">
        <f>IF(ISERROR(AND($V$85,MEDIAN(SPC!AT32:AT36))),NA(),MEDIAN(SPC!AT32:AT36))</f>
        <v>#N/A</v>
      </c>
      <c r="BL89" s="169" t="e">
        <f>IF(ISERROR(AND($V$85,MEDIAN(SPC!AU32:AU36))),NA(),MEDIAN(SPC!AU32:AU36))</f>
        <v>#N/A</v>
      </c>
      <c r="BM89" s="169" t="e">
        <f>IF(ISERROR(AND($V$85,MEDIAN(SPC!AV32:AV36))),NA(),MEDIAN(SPC!AV32:AV36))</f>
        <v>#N/A</v>
      </c>
      <c r="BN89" s="169" t="e">
        <f>IF(ISERROR(AND($V$85,MEDIAN(SPC!AW32:AW36))),NA(),MEDIAN(SPC!AW32:AW36))</f>
        <v>#N/A</v>
      </c>
      <c r="BO89" s="169" t="e">
        <f>IF(ISERROR(AND($V$85,MEDIAN(SPC!AX32:AX36))),NA(),MEDIAN(SPC!AX32:AX36))</f>
        <v>#N/A</v>
      </c>
      <c r="BP89" s="169" t="e">
        <f>IF(ISERROR(AND($V$85,MEDIAN(SPC!AY32:AY36))),NA(),MEDIAN(SPC!AY32:AY36))</f>
        <v>#N/A</v>
      </c>
      <c r="BQ89" s="169" t="e">
        <f>IF(ISERROR(AND($V$85,MEDIAN(SPC!AZ32:AZ36))),NA(),MEDIAN(SPC!AZ32:AZ36))</f>
        <v>#N/A</v>
      </c>
      <c r="BR89" s="169" t="e">
        <f>IF(ISERROR(AND($V$85,MEDIAN(P37:P41))),NA(),MEDIAN(P37:P41))</f>
        <v>#N/A</v>
      </c>
      <c r="BS89" s="169"/>
      <c r="BT89" s="169"/>
      <c r="BU89" s="88"/>
      <c r="BV89" s="143"/>
      <c r="BW89" s="88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149"/>
    </row>
    <row r="90" spans="16:98" ht="13.8" thickBot="1" x14ac:dyDescent="0.3">
      <c r="P90" s="10"/>
      <c r="Q90" s="168"/>
      <c r="R90" s="164" t="s">
        <v>181</v>
      </c>
      <c r="S90" s="88" t="s">
        <v>182</v>
      </c>
      <c r="T90" s="207">
        <f>IF(SPC!C38="N/A",NA(),SPC!C38)</f>
        <v>3.7694552177875096E-2</v>
      </c>
      <c r="U90" s="208">
        <f>IF(SPC!D38="N/A",NA(),SPC!D38)</f>
        <v>2.961697927116802E-2</v>
      </c>
      <c r="V90" s="208">
        <f>IF(SPC!E38="N/A",NA(),SPC!E38)</f>
        <v>2.8710136178716539E-2</v>
      </c>
      <c r="W90" s="208">
        <f>IF(SPC!F38="N/A",NA(),SPC!F38)</f>
        <v>3.2516142465464526E-2</v>
      </c>
      <c r="X90" s="208">
        <f>IF(SPC!G38="N/A",NA(),SPC!G38)</f>
        <v>3.7694552177875096E-2</v>
      </c>
      <c r="Y90" s="208">
        <f>IF(SPC!H38="N/A",NA(),SPC!H38)</f>
        <v>2.961697927116802E-2</v>
      </c>
      <c r="Z90" s="208">
        <f>IF(SPC!I38="N/A",NA(),SPC!I38)</f>
        <v>2.8710136178716539E-2</v>
      </c>
      <c r="AA90" s="208">
        <f>IF(SPC!J38="N/A",NA(),SPC!J38)</f>
        <v>3.2516142465464526E-2</v>
      </c>
      <c r="AB90" s="208">
        <f>IF(SPC!K38="N/A",NA(),SPC!K38)</f>
        <v>3.7694552177875096E-2</v>
      </c>
      <c r="AC90" s="208">
        <f>IF(SPC!L38="N/A",NA(),SPC!L38)</f>
        <v>2.961697927116802E-2</v>
      </c>
      <c r="AD90" s="208">
        <f>IF(SPC!M38="N/A",NA(),SPC!M38)</f>
        <v>2.8710136178716539E-2</v>
      </c>
      <c r="AE90" s="208">
        <f>IF(SPC!N38="N/A",NA(),SPC!N38)</f>
        <v>3.2516142465464526E-2</v>
      </c>
      <c r="AF90" s="208">
        <f>IF(SPC!O38="N/A",NA(),SPC!O38)</f>
        <v>3.7694552177875096E-2</v>
      </c>
      <c r="AG90" s="208">
        <f>IF(SPC!P38="N/A",NA(),SPC!P38)</f>
        <v>2.961697927116802E-2</v>
      </c>
      <c r="AH90" s="208">
        <f>IF(SPC!Q38="N/A",NA(),SPC!Q38)</f>
        <v>2.8710136178716539E-2</v>
      </c>
      <c r="AI90" s="208">
        <f>IF(SPC!R38="N/A",NA(),SPC!R38)</f>
        <v>3.2516142465464526E-2</v>
      </c>
      <c r="AJ90" s="208">
        <f>IF(SPC!S38="N/A",NA(),SPC!S38)</f>
        <v>3.7694552177875096E-2</v>
      </c>
      <c r="AK90" s="208">
        <f>IF(SPC!T38="N/A",NA(),SPC!T38)</f>
        <v>2.961697927116802E-2</v>
      </c>
      <c r="AL90" s="208">
        <f>IF(SPC!U38="N/A",NA(),SPC!U38)</f>
        <v>2.8710136178716539E-2</v>
      </c>
      <c r="AM90" s="208">
        <f>IF(SPC!V38="N/A",NA(),SPC!V38)</f>
        <v>3.2516142465464526E-2</v>
      </c>
      <c r="AN90" s="208">
        <f>IF(SPC!W38="N/A",NA(),SPC!W38)</f>
        <v>3.7694552177875096E-2</v>
      </c>
      <c r="AO90" s="208">
        <f>IF(SPC!X38="N/A",NA(),SPC!X38)</f>
        <v>2.961697927116802E-2</v>
      </c>
      <c r="AP90" s="208">
        <f>IF(SPC!Y38="N/A",NA(),SPC!Y38)</f>
        <v>2.8710136178716539E-2</v>
      </c>
      <c r="AQ90" s="208">
        <f>IF(SPC!Z38="N/A",NA(),SPC!Z38)</f>
        <v>3.2516142465464526E-2</v>
      </c>
      <c r="AR90" s="208">
        <f>IF(SPC!AA38="N/A",NA(),SPC!AA38)</f>
        <v>3.7694552177875096E-2</v>
      </c>
      <c r="AS90" s="208">
        <f>IF(SPC!AB38="N/A",NA(),SPC!AB38)</f>
        <v>2.961697927116802E-2</v>
      </c>
      <c r="AT90" s="208">
        <f>IF(SPC!AC38="N/A",NA(),SPC!AC38)</f>
        <v>2.8710136178716539E-2</v>
      </c>
      <c r="AU90" s="208">
        <f>IF(SPC!AD38="N/A",NA(),SPC!AD38)</f>
        <v>3.2516142465464526E-2</v>
      </c>
      <c r="AV90" s="208">
        <f>IF(SPC!AE38="N/A",NA(),SPC!AE38)</f>
        <v>3.7694552177875096E-2</v>
      </c>
      <c r="AW90" s="208">
        <f>IF(SPC!AF38="N/A",NA(),SPC!AF38)</f>
        <v>2.961697927116802E-2</v>
      </c>
      <c r="AX90" s="208">
        <f>IF(SPC!AG38="N/A",NA(),SPC!AG38)</f>
        <v>2.8710136178716539E-2</v>
      </c>
      <c r="AY90" s="208">
        <f>IF(SPC!AH38="N/A",NA(),SPC!AH38)</f>
        <v>3.2516142465464526E-2</v>
      </c>
      <c r="AZ90" s="208">
        <f>IF(SPC!AI38="N/A",NA(),SPC!AI38)</f>
        <v>3.7694552177875096E-2</v>
      </c>
      <c r="BA90" s="208">
        <f>IF(SPC!AJ38="N/A",NA(),SPC!AJ38)</f>
        <v>2.961697927116802E-2</v>
      </c>
      <c r="BB90" s="208">
        <f>IF(SPC!AK38="N/A",NA(),SPC!AK38)</f>
        <v>2.8710136178716539E-2</v>
      </c>
      <c r="BC90" s="208">
        <f>IF(SPC!AL38="N/A",NA(),SPC!AL38)</f>
        <v>3.2516142465464526E-2</v>
      </c>
      <c r="BD90" s="208">
        <f>IF(SPC!AM38="N/A",NA(),SPC!AM38)</f>
        <v>3.7694552177875096E-2</v>
      </c>
      <c r="BE90" s="208">
        <f>IF(SPC!AN38="N/A",NA(),SPC!AN38)</f>
        <v>2.961697927116802E-2</v>
      </c>
      <c r="BF90" s="208">
        <f>IF(SPC!AO38="N/A",NA(),SPC!AO38)</f>
        <v>2.8710136178716539E-2</v>
      </c>
      <c r="BG90" s="208">
        <f>IF(SPC!AP38="N/A",NA(),SPC!AP38)</f>
        <v>3.2516142465464526E-2</v>
      </c>
      <c r="BH90" s="208">
        <f>IF(SPC!AQ38="N/A",NA(),SPC!AQ38)</f>
        <v>3.7694552177875096E-2</v>
      </c>
      <c r="BI90" s="208">
        <f>IF(SPC!AR38="N/A",NA(),SPC!AR38)</f>
        <v>2.961697927116802E-2</v>
      </c>
      <c r="BJ90" s="208">
        <f>IF(SPC!AS38="N/A",NA(),SPC!AS38)</f>
        <v>2.8710136178716539E-2</v>
      </c>
      <c r="BK90" s="208">
        <f>IF(SPC!AT38="N/A",NA(),SPC!AT38)</f>
        <v>3.2516142465464526E-2</v>
      </c>
      <c r="BL90" s="208">
        <f>IF(SPC!AU38="N/A",NA(),SPC!AU38)</f>
        <v>3.7694552177875096E-2</v>
      </c>
      <c r="BM90" s="208">
        <f>IF(SPC!AV38="N/A",NA(),SPC!AV38)</f>
        <v>2.961697927116802E-2</v>
      </c>
      <c r="BN90" s="208">
        <f>IF(SPC!AW38="N/A",NA(),SPC!AW38)</f>
        <v>2.8710136178716539E-2</v>
      </c>
      <c r="BO90" s="208">
        <f>IF(SPC!AX38="N/A",NA(),SPC!AX38)</f>
        <v>3.2516142465464526E-2</v>
      </c>
      <c r="BP90" s="208">
        <f>IF(SPC!AY38="N/A",NA(),SPC!AY38)</f>
        <v>3.7694552177875096E-2</v>
      </c>
      <c r="BQ90" s="208">
        <f>IF(SPC!AZ38="N/A",NA(),SPC!AZ38)</f>
        <v>2.961697927116802E-2</v>
      </c>
      <c r="BR90" s="208">
        <f>IF(SPC!BA38="N/A",NA(),SPC!BA38)</f>
        <v>2.8710136178716539E-2</v>
      </c>
      <c r="BS90" s="208"/>
      <c r="BT90" s="208"/>
      <c r="BU90" s="186"/>
      <c r="BV90" s="187"/>
      <c r="BW90" s="186"/>
      <c r="BX90" s="153"/>
      <c r="BY90" s="153"/>
      <c r="BZ90" s="153"/>
      <c r="CA90" s="153"/>
      <c r="CB90" s="153"/>
      <c r="CC90" s="153"/>
      <c r="CD90" s="153"/>
      <c r="CE90" s="153"/>
      <c r="CF90" s="153"/>
      <c r="CG90" s="153"/>
      <c r="CH90" s="153"/>
      <c r="CI90" s="153"/>
      <c r="CJ90" s="153"/>
      <c r="CK90" s="153"/>
      <c r="CL90" s="153"/>
      <c r="CM90" s="153"/>
      <c r="CN90" s="153"/>
      <c r="CO90" s="153"/>
      <c r="CP90" s="153"/>
      <c r="CQ90" s="153"/>
      <c r="CR90" s="153"/>
      <c r="CS90" s="153"/>
      <c r="CT90" s="154"/>
    </row>
    <row r="91" spans="16:98" x14ac:dyDescent="0.25">
      <c r="P91" s="10"/>
      <c r="Q91" s="168"/>
      <c r="R91" s="88"/>
      <c r="S91" s="88"/>
      <c r="T91" s="88"/>
      <c r="U91" s="88"/>
      <c r="V91" s="88"/>
      <c r="W91" s="88"/>
      <c r="X91" s="180"/>
      <c r="Y91" s="88"/>
      <c r="Z91" s="88"/>
      <c r="AA91" s="88"/>
      <c r="AB91" s="88"/>
      <c r="AC91" s="180"/>
      <c r="AD91" s="88"/>
      <c r="AE91" s="88"/>
      <c r="AF91" s="88"/>
      <c r="AG91" s="88"/>
      <c r="AH91" s="88"/>
      <c r="AI91" s="88"/>
      <c r="AJ91" s="88"/>
      <c r="AK91" s="88"/>
      <c r="AL91" s="88"/>
      <c r="AM91" s="88"/>
      <c r="AN91" s="88"/>
      <c r="AO91" s="88"/>
      <c r="AP91" s="88"/>
      <c r="AQ91" s="88"/>
      <c r="AR91" s="88"/>
      <c r="AS91" s="88"/>
      <c r="AT91" s="88"/>
      <c r="AU91" s="88"/>
      <c r="AV91" s="88"/>
      <c r="AW91" s="88"/>
      <c r="AX91" s="88"/>
      <c r="AY91" s="88"/>
      <c r="AZ91" s="88"/>
      <c r="BA91" s="88"/>
      <c r="BB91" s="88"/>
      <c r="BC91" s="88"/>
      <c r="BD91" s="88"/>
      <c r="BE91" s="88"/>
      <c r="BF91" s="88"/>
      <c r="BG91" s="88"/>
      <c r="BH91" s="88"/>
      <c r="BI91" s="88"/>
      <c r="BJ91" s="88"/>
      <c r="BK91" s="88"/>
      <c r="BL91" s="88"/>
      <c r="BM91" s="88"/>
      <c r="BN91" s="88"/>
      <c r="BO91" s="88"/>
      <c r="BP91" s="88"/>
      <c r="BQ91" s="88"/>
      <c r="BR91" s="88"/>
      <c r="BS91" s="88"/>
      <c r="BT91" s="88"/>
      <c r="BU91" s="88"/>
      <c r="BV91" s="143"/>
      <c r="BW91" s="12"/>
    </row>
    <row r="92" spans="16:98" x14ac:dyDescent="0.25">
      <c r="P92" s="10"/>
      <c r="Q92" s="168"/>
      <c r="R92" s="164">
        <f t="shared" ref="R92:R97" si="33">LEN(U92)</f>
        <v>43</v>
      </c>
      <c r="S92" s="164"/>
      <c r="T92" s="164">
        <f>IF(SPC!P5="",0,IF(SPC!X3&gt;=7,1,0))</f>
        <v>0</v>
      </c>
      <c r="U92" s="164" t="s">
        <v>163</v>
      </c>
      <c r="V92" s="164"/>
      <c r="W92" s="88"/>
      <c r="X92" s="88"/>
      <c r="Y92" s="88"/>
      <c r="Z92" s="88"/>
      <c r="AA92" s="88"/>
      <c r="AB92" s="88">
        <f ca="1">IF(SPC!P5="",0,IF(AND(SPC!F7&lt;1.67,SPC!N7&lt;1.33),1,0))</f>
        <v>0</v>
      </c>
      <c r="AC92" s="164" t="s">
        <v>149</v>
      </c>
      <c r="AD92" s="88"/>
      <c r="AE92" s="88"/>
      <c r="AF92" s="88"/>
      <c r="AG92" s="88"/>
      <c r="AH92" s="88"/>
      <c r="AI92" s="88"/>
      <c r="AJ92" s="88"/>
      <c r="AK92" s="88"/>
      <c r="AL92" s="88"/>
      <c r="AM92" s="88"/>
      <c r="AN92" s="88"/>
      <c r="AO92" s="88"/>
      <c r="AP92" s="88"/>
      <c r="AQ92" s="88"/>
      <c r="AR92" s="88"/>
      <c r="AS92" s="88"/>
      <c r="AT92" s="88"/>
      <c r="AU92" s="88"/>
      <c r="AV92" s="88"/>
      <c r="AW92" s="88"/>
      <c r="AX92" s="88"/>
      <c r="AY92" s="88"/>
      <c r="AZ92" s="88"/>
      <c r="BA92" s="88"/>
      <c r="BB92" s="88"/>
      <c r="BC92" s="88"/>
      <c r="BD92" s="88"/>
      <c r="BE92" s="88"/>
      <c r="BF92" s="88"/>
      <c r="BG92" s="88"/>
      <c r="BH92" s="88"/>
      <c r="BI92" s="88"/>
      <c r="BJ92" s="88"/>
      <c r="BK92" s="88"/>
      <c r="BL92" s="88"/>
      <c r="BM92" s="88"/>
      <c r="BN92" s="88"/>
      <c r="BO92" s="88"/>
      <c r="BP92" s="88"/>
      <c r="BQ92" s="88"/>
      <c r="BR92" s="88"/>
      <c r="BS92" s="88"/>
      <c r="BT92" s="88"/>
      <c r="BU92" s="88"/>
      <c r="BV92" s="143"/>
      <c r="BW92" s="12"/>
    </row>
    <row r="93" spans="16:98" x14ac:dyDescent="0.25">
      <c r="P93" s="10"/>
      <c r="Q93" s="168"/>
      <c r="R93" s="164">
        <f t="shared" si="33"/>
        <v>43</v>
      </c>
      <c r="S93" s="164"/>
      <c r="T93" s="164">
        <f>IF(SPC!P5="",0,IF(SPC!X5&gt;=7,1,0))</f>
        <v>0</v>
      </c>
      <c r="U93" s="164" t="s">
        <v>164</v>
      </c>
      <c r="V93" s="164"/>
      <c r="W93" s="88"/>
      <c r="X93" s="88"/>
      <c r="Y93" s="88"/>
      <c r="Z93" s="88"/>
      <c r="AA93" s="88"/>
      <c r="AB93" s="88">
        <f ca="1">IF(SPC!P5="",0,IF(SPC!F7&lt;1.67,1,0))</f>
        <v>0</v>
      </c>
      <c r="AC93" s="88" t="s">
        <v>128</v>
      </c>
      <c r="AD93" s="88"/>
      <c r="AE93" s="88"/>
      <c r="AF93" s="88"/>
      <c r="AG93" s="88"/>
      <c r="AH93" s="88"/>
      <c r="AI93" s="88"/>
      <c r="AJ93" s="88"/>
      <c r="AK93" s="88"/>
      <c r="AL93" s="88"/>
      <c r="AM93" s="88"/>
      <c r="AN93" s="88"/>
      <c r="AO93" s="88"/>
      <c r="AP93" s="88"/>
      <c r="AQ93" s="88"/>
      <c r="AR93" s="88"/>
      <c r="AS93" s="88"/>
      <c r="AT93" s="88"/>
      <c r="AU93" s="88"/>
      <c r="AV93" s="88"/>
      <c r="AW93" s="88"/>
      <c r="AX93" s="88"/>
      <c r="AY93" s="88"/>
      <c r="AZ93" s="88"/>
      <c r="BA93" s="88"/>
      <c r="BB93" s="88"/>
      <c r="BC93" s="88"/>
      <c r="BD93" s="88"/>
      <c r="BE93" s="88"/>
      <c r="BF93" s="88"/>
      <c r="BG93" s="88"/>
      <c r="BH93" s="88"/>
      <c r="BI93" s="88"/>
      <c r="BJ93" s="88"/>
      <c r="BK93" s="88"/>
      <c r="BL93" s="88"/>
      <c r="BM93" s="88"/>
      <c r="BN93" s="88"/>
      <c r="BO93" s="88"/>
      <c r="BP93" s="88"/>
      <c r="BQ93" s="88"/>
      <c r="BR93" s="88"/>
      <c r="BS93" s="88"/>
      <c r="BT93" s="88"/>
      <c r="BU93" s="88"/>
      <c r="BV93" s="143"/>
      <c r="BW93" s="12"/>
    </row>
    <row r="94" spans="16:98" x14ac:dyDescent="0.25">
      <c r="P94" s="10"/>
      <c r="Q94" s="168"/>
      <c r="R94" s="164">
        <f t="shared" si="33"/>
        <v>39</v>
      </c>
      <c r="S94" s="164"/>
      <c r="T94" s="164">
        <f ca="1">IF(SPC!P5="",0,IF(SPC!X7&lt;&gt;0,1,0))</f>
        <v>0</v>
      </c>
      <c r="U94" s="164" t="s">
        <v>152</v>
      </c>
      <c r="V94" s="164"/>
      <c r="W94" s="88"/>
      <c r="X94" s="88"/>
      <c r="Y94" s="88"/>
      <c r="Z94" s="88"/>
      <c r="AA94" s="88"/>
      <c r="AB94" s="88">
        <f ca="1">IF(SPC!P5="",0,IF(AND(SPC!F8&lt;1.67,SPC!F8&gt;=1.33,SPC!N8&lt;1.33),1,0))</f>
        <v>0</v>
      </c>
      <c r="AC94" s="164" t="s">
        <v>157</v>
      </c>
      <c r="AD94" s="88"/>
      <c r="AE94" s="88"/>
      <c r="AF94" s="88"/>
      <c r="AG94" s="88"/>
      <c r="AH94" s="88"/>
      <c r="AI94" s="88"/>
      <c r="AJ94" s="88"/>
      <c r="AK94" s="88"/>
      <c r="AL94" s="88"/>
      <c r="AM94" s="88"/>
      <c r="AN94" s="88"/>
      <c r="AO94" s="88"/>
      <c r="AP94" s="88"/>
      <c r="AQ94" s="88"/>
      <c r="AR94" s="88"/>
      <c r="AS94" s="88"/>
      <c r="AT94" s="88"/>
      <c r="AU94" s="88"/>
      <c r="AV94" s="88"/>
      <c r="AW94" s="88"/>
      <c r="AX94" s="88"/>
      <c r="AY94" s="88"/>
      <c r="AZ94" s="88"/>
      <c r="BA94" s="88"/>
      <c r="BB94" s="88"/>
      <c r="BC94" s="88"/>
      <c r="BD94" s="88"/>
      <c r="BE94" s="88"/>
      <c r="BF94" s="88"/>
      <c r="BG94" s="88"/>
      <c r="BH94" s="88"/>
      <c r="BI94" s="88"/>
      <c r="BJ94" s="88"/>
      <c r="BK94" s="88"/>
      <c r="BL94" s="88"/>
      <c r="BM94" s="88"/>
      <c r="BN94" s="88"/>
      <c r="BO94" s="88"/>
      <c r="BP94" s="88"/>
      <c r="BQ94" s="88"/>
      <c r="BR94" s="88"/>
      <c r="BS94" s="88"/>
      <c r="BT94" s="88"/>
      <c r="BU94" s="88"/>
      <c r="BV94" s="143"/>
      <c r="BW94" s="12"/>
    </row>
    <row r="95" spans="16:98" x14ac:dyDescent="0.25">
      <c r="P95" s="10"/>
      <c r="Q95" s="168"/>
      <c r="R95" s="164">
        <f t="shared" si="33"/>
        <v>44</v>
      </c>
      <c r="S95" s="164"/>
      <c r="T95" s="164">
        <f>IF(SPC!P5="",0,IF(SPC!Z3&gt;=7,1,0))</f>
        <v>0</v>
      </c>
      <c r="U95" s="164" t="s">
        <v>165</v>
      </c>
      <c r="V95" s="164"/>
      <c r="W95" s="88"/>
      <c r="X95" s="88"/>
      <c r="Y95" s="88"/>
      <c r="Z95" s="88"/>
      <c r="AA95" s="88"/>
      <c r="AB95" s="88">
        <f ca="1">IF(SPC!P5="",0,IF(AND(SPC!F8&lt;1.67,SPC!F8&gt;=1.33),1,0))</f>
        <v>0</v>
      </c>
      <c r="AC95" s="88" t="s">
        <v>158</v>
      </c>
      <c r="AD95" s="88"/>
      <c r="AE95" s="88"/>
      <c r="AF95" s="88"/>
      <c r="AG95" s="88"/>
      <c r="AH95" s="88"/>
      <c r="AI95" s="88"/>
      <c r="AJ95" s="88"/>
      <c r="AK95" s="88"/>
      <c r="AL95" s="88"/>
      <c r="AM95" s="88"/>
      <c r="AN95" s="88"/>
      <c r="AO95" s="88"/>
      <c r="AP95" s="88"/>
      <c r="AQ95" s="88"/>
      <c r="AR95" s="88"/>
      <c r="AS95" s="88"/>
      <c r="AT95" s="88"/>
      <c r="AU95" s="88"/>
      <c r="AV95" s="88"/>
      <c r="AW95" s="88"/>
      <c r="AX95" s="88"/>
      <c r="AY95" s="88"/>
      <c r="AZ95" s="88"/>
      <c r="BA95" s="88"/>
      <c r="BB95" s="88"/>
      <c r="BC95" s="88"/>
      <c r="BD95" s="88"/>
      <c r="BE95" s="88"/>
      <c r="BF95" s="88"/>
      <c r="BG95" s="88"/>
      <c r="BH95" s="88"/>
      <c r="BI95" s="88"/>
      <c r="BJ95" s="88"/>
      <c r="BK95" s="88"/>
      <c r="BL95" s="88"/>
      <c r="BM95" s="88"/>
      <c r="BN95" s="88"/>
      <c r="BO95" s="88"/>
      <c r="BP95" s="88"/>
      <c r="BQ95" s="88"/>
      <c r="BR95" s="88"/>
      <c r="BS95" s="88"/>
      <c r="BT95" s="88"/>
      <c r="BU95" s="88"/>
      <c r="BV95" s="143"/>
      <c r="BW95" s="12"/>
    </row>
    <row r="96" spans="16:98" x14ac:dyDescent="0.25">
      <c r="P96" s="10"/>
      <c r="Q96" s="168"/>
      <c r="R96" s="164">
        <f t="shared" si="33"/>
        <v>44</v>
      </c>
      <c r="S96" s="164"/>
      <c r="T96" s="164">
        <f>IF(SPC!P5="",0,IF(SPC!Z5&gt;=7,1,0))</f>
        <v>0</v>
      </c>
      <c r="U96" s="164" t="s">
        <v>166</v>
      </c>
      <c r="V96" s="164"/>
      <c r="W96" s="88"/>
      <c r="X96" s="88"/>
      <c r="Y96" s="88"/>
      <c r="Z96" s="88"/>
      <c r="AA96" s="88"/>
      <c r="AB96" s="88"/>
      <c r="AC96" s="88"/>
      <c r="AD96" s="88"/>
      <c r="AE96" s="88"/>
      <c r="AF96" s="88"/>
      <c r="AG96" s="88"/>
      <c r="AH96" s="88"/>
      <c r="AI96" s="88"/>
      <c r="AJ96" s="88"/>
      <c r="AK96" s="88"/>
      <c r="AL96" s="88"/>
      <c r="AM96" s="88"/>
      <c r="AN96" s="88"/>
      <c r="AO96" s="88"/>
      <c r="AP96" s="88"/>
      <c r="AQ96" s="88"/>
      <c r="AR96" s="88"/>
      <c r="AS96" s="88"/>
      <c r="AT96" s="88"/>
      <c r="AU96" s="88"/>
      <c r="AV96" s="88"/>
      <c r="AW96" s="88"/>
      <c r="AX96" s="88"/>
      <c r="AY96" s="88"/>
      <c r="AZ96" s="88"/>
      <c r="BA96" s="88"/>
      <c r="BB96" s="88"/>
      <c r="BC96" s="88"/>
      <c r="BD96" s="88"/>
      <c r="BE96" s="88"/>
      <c r="BF96" s="88"/>
      <c r="BG96" s="88"/>
      <c r="BH96" s="88"/>
      <c r="BI96" s="88"/>
      <c r="BJ96" s="88"/>
      <c r="BK96" s="88"/>
      <c r="BL96" s="88"/>
      <c r="BM96" s="88"/>
      <c r="BN96" s="88"/>
      <c r="BO96" s="88"/>
      <c r="BP96" s="88"/>
      <c r="BQ96" s="88"/>
      <c r="BR96" s="88"/>
      <c r="BS96" s="88"/>
      <c r="BT96" s="88"/>
      <c r="BU96" s="88"/>
      <c r="BV96" s="143"/>
      <c r="BW96" s="12"/>
    </row>
    <row r="97" spans="16:75" x14ac:dyDescent="0.25">
      <c r="P97" s="10"/>
      <c r="Q97" s="168"/>
      <c r="R97" s="164">
        <f t="shared" si="33"/>
        <v>36</v>
      </c>
      <c r="S97" s="164"/>
      <c r="T97" s="164">
        <f ca="1">IF(SPC!P5="",0,IF(SPC!Z7&lt;&gt;0,1,0))</f>
        <v>1</v>
      </c>
      <c r="U97" s="164" t="s">
        <v>153</v>
      </c>
      <c r="V97" s="164"/>
      <c r="W97" s="88"/>
      <c r="X97" s="88"/>
      <c r="Y97" s="88"/>
      <c r="Z97" s="88"/>
      <c r="AA97" s="88"/>
      <c r="AB97" s="88"/>
      <c r="AC97" s="88"/>
      <c r="AD97" s="88"/>
      <c r="AE97" s="88"/>
      <c r="AF97" s="88"/>
      <c r="AG97" s="88"/>
      <c r="AH97" s="88"/>
      <c r="AI97" s="88"/>
      <c r="AJ97" s="88"/>
      <c r="AK97" s="88"/>
      <c r="AL97" s="88"/>
      <c r="AM97" s="88"/>
      <c r="AN97" s="88"/>
      <c r="AO97" s="88"/>
      <c r="AP97" s="88"/>
      <c r="AQ97" s="88"/>
      <c r="AR97" s="88"/>
      <c r="AS97" s="88"/>
      <c r="AT97" s="88"/>
      <c r="AU97" s="88"/>
      <c r="AV97" s="88"/>
      <c r="AW97" s="88"/>
      <c r="AX97" s="88"/>
      <c r="AY97" s="88"/>
      <c r="AZ97" s="88"/>
      <c r="BA97" s="88"/>
      <c r="BB97" s="88"/>
      <c r="BC97" s="88"/>
      <c r="BD97" s="88"/>
      <c r="BE97" s="88"/>
      <c r="BF97" s="88"/>
      <c r="BG97" s="88"/>
      <c r="BH97" s="88"/>
      <c r="BI97" s="88"/>
      <c r="BJ97" s="88"/>
      <c r="BK97" s="88"/>
      <c r="BL97" s="88"/>
      <c r="BM97" s="88"/>
      <c r="BN97" s="88"/>
      <c r="BO97" s="88"/>
      <c r="BP97" s="88"/>
      <c r="BQ97" s="88"/>
      <c r="BR97" s="88"/>
      <c r="BS97" s="88"/>
      <c r="BT97" s="88"/>
      <c r="BU97" s="88"/>
      <c r="BV97" s="143"/>
      <c r="BW97" s="12"/>
    </row>
    <row r="98" spans="16:75" x14ac:dyDescent="0.25">
      <c r="P98" s="10"/>
      <c r="Q98" s="168"/>
      <c r="R98" s="164"/>
      <c r="S98" s="164">
        <f>LEN(U98)</f>
        <v>56</v>
      </c>
      <c r="T98" s="164">
        <f ca="1">IF(SPC!P5="",0,IF(AND(SPC!F7&lt;1.67,SPC!N7&lt;1.33),1,0))</f>
        <v>0</v>
      </c>
      <c r="U98" s="164" t="s">
        <v>149</v>
      </c>
      <c r="V98" s="164"/>
      <c r="W98" s="88"/>
      <c r="X98" s="88"/>
      <c r="Y98" s="88"/>
      <c r="Z98" s="88"/>
      <c r="AA98" s="88"/>
      <c r="AB98" s="164" t="e">
        <f ca="1">IF(SPC!P5="",0,IF(AND(SPC!N8&gt;=1.33,SPC!F8&gt;=1.67,SPC!F8&lt;&gt;"",SPC!#REF!&lt;&gt;"With presence of Special Cause."),1,0))</f>
        <v>#REF!</v>
      </c>
      <c r="AC98" s="88" t="s">
        <v>154</v>
      </c>
      <c r="AD98" s="88"/>
      <c r="AE98" s="88"/>
      <c r="AF98" s="88"/>
      <c r="AG98" s="88"/>
      <c r="AH98" s="88"/>
      <c r="AI98" s="88"/>
      <c r="AJ98" s="88"/>
      <c r="AK98" s="88"/>
      <c r="AL98" s="88"/>
      <c r="AM98" s="88"/>
      <c r="AN98" s="88"/>
      <c r="AO98" s="88"/>
      <c r="AP98" s="88"/>
      <c r="AQ98" s="88"/>
      <c r="AR98" s="88"/>
      <c r="AS98" s="88"/>
      <c r="AT98" s="88"/>
      <c r="AU98" s="88"/>
      <c r="AV98" s="88"/>
      <c r="AW98" s="88"/>
      <c r="AX98" s="88"/>
      <c r="AY98" s="88"/>
      <c r="AZ98" s="88"/>
      <c r="BA98" s="88"/>
      <c r="BB98" s="88"/>
      <c r="BC98" s="88"/>
      <c r="BD98" s="88"/>
      <c r="BE98" s="88"/>
      <c r="BF98" s="88"/>
      <c r="BG98" s="88"/>
      <c r="BH98" s="88"/>
      <c r="BI98" s="88"/>
      <c r="BJ98" s="88"/>
      <c r="BK98" s="88"/>
      <c r="BL98" s="88"/>
      <c r="BM98" s="88"/>
      <c r="BN98" s="88"/>
      <c r="BO98" s="88"/>
      <c r="BP98" s="88"/>
      <c r="BQ98" s="88"/>
      <c r="BR98" s="88"/>
      <c r="BS98" s="88"/>
      <c r="BT98" s="88"/>
      <c r="BU98" s="88"/>
      <c r="BV98" s="143"/>
      <c r="BW98" s="12"/>
    </row>
    <row r="99" spans="16:75" x14ac:dyDescent="0.25">
      <c r="P99" s="10"/>
      <c r="Q99" s="168"/>
      <c r="R99" s="164"/>
      <c r="S99" s="164">
        <f>LEN(U99)</f>
        <v>69</v>
      </c>
      <c r="T99" s="164">
        <f ca="1">IF(SPC!P5="",0,IF(AND(SPC!F8&lt;1.67,SPC!F8&gt;=1.33,SPC!N8&lt;1.33),1,0))</f>
        <v>0</v>
      </c>
      <c r="U99" s="164" t="s">
        <v>157</v>
      </c>
      <c r="V99" s="164"/>
      <c r="W99" s="88"/>
      <c r="X99" s="88"/>
      <c r="Y99" s="88"/>
      <c r="Z99" s="88"/>
      <c r="AA99" s="88"/>
      <c r="AB99" s="88">
        <f ca="1">IF(SPC!P5="",0,IF(AND(SPC!N8="N/A",SPC!F8&gt;=1.67,SPC!F8&lt;&gt;""),1,0))</f>
        <v>0</v>
      </c>
      <c r="AC99" s="88" t="s">
        <v>155</v>
      </c>
      <c r="AD99" s="88"/>
      <c r="AE99" s="88"/>
      <c r="AF99" s="88"/>
      <c r="AG99" s="88"/>
      <c r="AH99" s="88"/>
      <c r="AI99" s="88"/>
      <c r="AJ99" s="88"/>
      <c r="AK99" s="88"/>
      <c r="AL99" s="88"/>
      <c r="AM99" s="88"/>
      <c r="AN99" s="88"/>
      <c r="AO99" s="88"/>
      <c r="AP99" s="88"/>
      <c r="AQ99" s="88"/>
      <c r="AR99" s="88"/>
      <c r="AS99" s="88"/>
      <c r="AT99" s="88"/>
      <c r="AU99" s="88"/>
      <c r="AV99" s="88"/>
      <c r="AW99" s="88"/>
      <c r="AX99" s="88"/>
      <c r="AY99" s="88"/>
      <c r="AZ99" s="88"/>
      <c r="BA99" s="88"/>
      <c r="BB99" s="88"/>
      <c r="BC99" s="88"/>
      <c r="BD99" s="88"/>
      <c r="BE99" s="88"/>
      <c r="BF99" s="88"/>
      <c r="BG99" s="88"/>
      <c r="BH99" s="88"/>
      <c r="BI99" s="88"/>
      <c r="BJ99" s="88"/>
      <c r="BK99" s="88"/>
      <c r="BL99" s="88"/>
      <c r="BM99" s="88"/>
      <c r="BN99" s="88"/>
      <c r="BO99" s="88"/>
      <c r="BP99" s="88"/>
      <c r="BQ99" s="88"/>
      <c r="BR99" s="88"/>
      <c r="BS99" s="88"/>
      <c r="BT99" s="88"/>
      <c r="BU99" s="88"/>
      <c r="BV99" s="143"/>
      <c r="BW99" s="12"/>
    </row>
    <row r="100" spans="16:75" x14ac:dyDescent="0.25">
      <c r="P100" s="10"/>
      <c r="Q100" s="168"/>
      <c r="R100" s="164"/>
      <c r="S100" s="164">
        <f>LEN(U100)</f>
        <v>60</v>
      </c>
      <c r="T100" s="164">
        <f ca="1">IF(SPC!P5="",0,IF(SPC!F8&lt;1.67,1,0))</f>
        <v>1</v>
      </c>
      <c r="U100" s="88" t="s">
        <v>151</v>
      </c>
      <c r="V100" s="164"/>
      <c r="W100" s="88"/>
      <c r="X100" s="88"/>
      <c r="Y100" s="88"/>
      <c r="Z100" s="88"/>
      <c r="AA100" s="88"/>
      <c r="AB100" s="88">
        <f ca="1">IF(SPC!P5="",0,IF(AND(SPC!N8="N/A",SPC!F8&gt;=1.67,SPC!F8&lt;&gt;""),1,0))</f>
        <v>0</v>
      </c>
      <c r="AC100" s="88" t="s">
        <v>156</v>
      </c>
      <c r="AD100" s="88"/>
      <c r="AE100" s="88"/>
      <c r="AF100" s="88"/>
      <c r="AG100" s="88"/>
      <c r="AH100" s="88"/>
      <c r="AI100" s="88"/>
      <c r="AJ100" s="88"/>
      <c r="AK100" s="88"/>
      <c r="AL100" s="88"/>
      <c r="AM100" s="88"/>
      <c r="AN100" s="88"/>
      <c r="AO100" s="88"/>
      <c r="AP100" s="88"/>
      <c r="AQ100" s="88"/>
      <c r="AR100" s="88"/>
      <c r="AS100" s="88"/>
      <c r="AT100" s="88"/>
      <c r="AU100" s="88"/>
      <c r="AV100" s="88"/>
      <c r="AW100" s="88"/>
      <c r="AX100" s="88"/>
      <c r="AY100" s="88"/>
      <c r="AZ100" s="88"/>
      <c r="BA100" s="88"/>
      <c r="BB100" s="88"/>
      <c r="BC100" s="88"/>
      <c r="BD100" s="88"/>
      <c r="BE100" s="88"/>
      <c r="BF100" s="88"/>
      <c r="BG100" s="88"/>
      <c r="BH100" s="88"/>
      <c r="BI100" s="88"/>
      <c r="BJ100" s="88"/>
      <c r="BK100" s="88"/>
      <c r="BL100" s="88"/>
      <c r="BM100" s="88"/>
      <c r="BN100" s="88"/>
      <c r="BO100" s="88"/>
      <c r="BP100" s="88"/>
      <c r="BQ100" s="88"/>
      <c r="BR100" s="88"/>
      <c r="BS100" s="88"/>
      <c r="BT100" s="88"/>
      <c r="BU100" s="88"/>
      <c r="BV100" s="143"/>
      <c r="BW100" s="12"/>
    </row>
    <row r="101" spans="16:75" x14ac:dyDescent="0.25">
      <c r="P101" s="10"/>
      <c r="Q101" s="168"/>
      <c r="R101" s="88"/>
      <c r="S101" s="164">
        <f>LEN(U101)</f>
        <v>106</v>
      </c>
      <c r="T101" s="88"/>
      <c r="U101" s="88" t="s">
        <v>150</v>
      </c>
      <c r="V101" s="88"/>
      <c r="W101" s="88"/>
      <c r="X101" s="88"/>
      <c r="Y101" s="88"/>
      <c r="Z101" s="88"/>
      <c r="AA101" s="88"/>
      <c r="AB101" s="88"/>
      <c r="AC101" s="88" t="s">
        <v>187</v>
      </c>
      <c r="AD101" s="88"/>
      <c r="AE101" s="88"/>
      <c r="AF101" s="88"/>
      <c r="AG101" s="88"/>
      <c r="AH101" s="88"/>
      <c r="AI101" s="88"/>
      <c r="AJ101" s="88"/>
      <c r="AK101" s="88"/>
      <c r="AL101" s="88"/>
      <c r="AM101" s="88"/>
      <c r="AN101" s="88"/>
      <c r="AO101" s="88"/>
      <c r="AP101" s="88"/>
      <c r="AQ101" s="88"/>
      <c r="AR101" s="88"/>
      <c r="AS101" s="88"/>
      <c r="AT101" s="88"/>
      <c r="AU101" s="88"/>
      <c r="AV101" s="88"/>
      <c r="AW101" s="88"/>
      <c r="AX101" s="88"/>
      <c r="AY101" s="88"/>
      <c r="AZ101" s="88"/>
      <c r="BA101" s="88"/>
      <c r="BB101" s="88"/>
      <c r="BC101" s="88"/>
      <c r="BD101" s="88"/>
      <c r="BE101" s="88"/>
      <c r="BF101" s="88"/>
      <c r="BG101" s="88"/>
      <c r="BH101" s="88"/>
      <c r="BI101" s="88"/>
      <c r="BJ101" s="88"/>
      <c r="BK101" s="88"/>
      <c r="BL101" s="88"/>
      <c r="BM101" s="88"/>
      <c r="BN101" s="88"/>
      <c r="BO101" s="88"/>
      <c r="BP101" s="88"/>
      <c r="BQ101" s="88"/>
      <c r="BR101" s="88"/>
      <c r="BS101" s="88"/>
      <c r="BT101" s="88"/>
      <c r="BU101" s="88"/>
      <c r="BV101" s="143"/>
      <c r="BW101" s="12"/>
    </row>
    <row r="102" spans="16:75" x14ac:dyDescent="0.25">
      <c r="P102" s="10"/>
      <c r="Q102" s="168"/>
      <c r="R102" s="164"/>
      <c r="S102" s="164"/>
      <c r="T102" s="164">
        <f>IF(SPC!P5="",0,IF(T80&gt;=7,1,0))</f>
        <v>0</v>
      </c>
      <c r="U102" s="164" t="s">
        <v>183</v>
      </c>
      <c r="V102" s="164"/>
      <c r="W102" s="88"/>
      <c r="X102" s="88"/>
      <c r="Y102" s="88"/>
      <c r="Z102" s="88"/>
      <c r="AA102" s="88"/>
      <c r="AB102" s="88"/>
      <c r="AC102" s="88" t="s">
        <v>167</v>
      </c>
      <c r="AD102" s="88"/>
      <c r="AE102" s="88"/>
      <c r="AF102" s="88"/>
      <c r="AG102" s="88"/>
      <c r="AH102" s="88"/>
      <c r="AI102" s="88"/>
      <c r="AJ102" s="88"/>
      <c r="AK102" s="88"/>
      <c r="AL102" s="88"/>
      <c r="AM102" s="88"/>
      <c r="AN102" s="88"/>
      <c r="AO102" s="88"/>
      <c r="AP102" s="88"/>
      <c r="AQ102" s="88"/>
      <c r="AR102" s="88"/>
      <c r="AS102" s="88"/>
      <c r="AT102" s="88"/>
      <c r="AU102" s="88"/>
      <c r="AV102" s="88"/>
      <c r="AW102" s="88"/>
      <c r="AX102" s="88"/>
      <c r="AY102" s="88"/>
      <c r="AZ102" s="88"/>
      <c r="BA102" s="88"/>
      <c r="BB102" s="88"/>
      <c r="BC102" s="88"/>
      <c r="BD102" s="88"/>
      <c r="BE102" s="88"/>
      <c r="BF102" s="88"/>
      <c r="BG102" s="88"/>
      <c r="BH102" s="88"/>
      <c r="BI102" s="88"/>
      <c r="BJ102" s="88"/>
      <c r="BK102" s="88"/>
      <c r="BL102" s="88"/>
      <c r="BM102" s="88"/>
      <c r="BN102" s="88"/>
      <c r="BO102" s="88"/>
      <c r="BP102" s="88"/>
      <c r="BQ102" s="88"/>
      <c r="BR102" s="88"/>
      <c r="BS102" s="88"/>
      <c r="BT102" s="88"/>
      <c r="BU102" s="88"/>
      <c r="BV102" s="143"/>
      <c r="BW102" s="12"/>
    </row>
    <row r="103" spans="16:75" x14ac:dyDescent="0.25">
      <c r="P103" s="10"/>
      <c r="Q103" s="168"/>
      <c r="R103" s="164"/>
      <c r="S103" s="164"/>
      <c r="T103" s="164">
        <f>IF(SPC!P5="",0,IF(T81&gt;=7,1,0))</f>
        <v>0</v>
      </c>
      <c r="U103" s="164" t="s">
        <v>184</v>
      </c>
      <c r="V103" s="164"/>
      <c r="W103" s="88"/>
      <c r="X103" s="88"/>
      <c r="Y103" s="88"/>
      <c r="Z103" s="88"/>
      <c r="AA103" s="88"/>
      <c r="AB103" s="88"/>
      <c r="AC103" s="88"/>
      <c r="AD103" s="88"/>
      <c r="AE103" s="88"/>
      <c r="AF103" s="88"/>
      <c r="AG103" s="88"/>
      <c r="AH103" s="88"/>
      <c r="AI103" s="88"/>
      <c r="AJ103" s="88"/>
      <c r="AK103" s="88"/>
      <c r="AL103" s="88"/>
      <c r="AM103" s="88"/>
      <c r="AN103" s="88"/>
      <c r="AO103" s="88"/>
      <c r="AP103" s="88"/>
      <c r="AQ103" s="88"/>
      <c r="AR103" s="88"/>
      <c r="AS103" s="88"/>
      <c r="AT103" s="88"/>
      <c r="AU103" s="88"/>
      <c r="AV103" s="88"/>
      <c r="AW103" s="88"/>
      <c r="AX103" s="88"/>
      <c r="AY103" s="88"/>
      <c r="AZ103" s="88"/>
      <c r="BA103" s="88"/>
      <c r="BB103" s="88"/>
      <c r="BC103" s="88"/>
      <c r="BD103" s="88"/>
      <c r="BE103" s="88"/>
      <c r="BF103" s="88"/>
      <c r="BG103" s="88"/>
      <c r="BH103" s="88"/>
      <c r="BI103" s="88"/>
      <c r="BJ103" s="88"/>
      <c r="BK103" s="88"/>
      <c r="BL103" s="88"/>
      <c r="BM103" s="88"/>
      <c r="BN103" s="88"/>
      <c r="BO103" s="88"/>
      <c r="BP103" s="88"/>
      <c r="BQ103" s="88"/>
      <c r="BR103" s="88"/>
      <c r="BS103" s="88"/>
      <c r="BT103" s="88"/>
      <c r="BU103" s="88"/>
      <c r="BV103" s="143"/>
      <c r="BW103" s="12"/>
    </row>
    <row r="104" spans="16:75" x14ac:dyDescent="0.25">
      <c r="P104" s="10"/>
      <c r="Q104" s="168"/>
      <c r="R104" s="164"/>
      <c r="S104" s="164"/>
      <c r="T104" s="164">
        <f>IF(SPC!P5="",0,IF(T82&gt;=7,1,0))</f>
        <v>0</v>
      </c>
      <c r="U104" s="164" t="s">
        <v>185</v>
      </c>
      <c r="V104" s="164"/>
      <c r="W104" s="88"/>
      <c r="X104" s="88"/>
      <c r="Y104" s="88"/>
      <c r="Z104" s="88"/>
      <c r="AA104" s="88"/>
      <c r="AB104" s="88"/>
      <c r="AC104" s="88"/>
      <c r="AD104" s="88"/>
      <c r="AE104" s="88"/>
      <c r="AF104" s="88"/>
      <c r="AG104" s="88"/>
      <c r="AH104" s="88"/>
      <c r="AI104" s="88"/>
      <c r="AJ104" s="88"/>
      <c r="AK104" s="88"/>
      <c r="AL104" s="88"/>
      <c r="AM104" s="88"/>
      <c r="AN104" s="88"/>
      <c r="AO104" s="88"/>
      <c r="AP104" s="88"/>
      <c r="AQ104" s="88"/>
      <c r="AR104" s="88"/>
      <c r="AS104" s="88"/>
      <c r="AT104" s="88"/>
      <c r="AU104" s="88"/>
      <c r="AV104" s="88"/>
      <c r="AW104" s="88"/>
      <c r="AX104" s="88"/>
      <c r="AY104" s="88"/>
      <c r="AZ104" s="88"/>
      <c r="BA104" s="88"/>
      <c r="BB104" s="88"/>
      <c r="BC104" s="88"/>
      <c r="BD104" s="88"/>
      <c r="BE104" s="88"/>
      <c r="BF104" s="88"/>
      <c r="BG104" s="88"/>
      <c r="BH104" s="88"/>
      <c r="BI104" s="88"/>
      <c r="BJ104" s="88"/>
      <c r="BK104" s="88"/>
      <c r="BL104" s="88"/>
      <c r="BM104" s="88"/>
      <c r="BN104" s="88"/>
      <c r="BO104" s="88"/>
      <c r="BP104" s="88"/>
      <c r="BQ104" s="88"/>
      <c r="BR104" s="88"/>
      <c r="BS104" s="88"/>
      <c r="BT104" s="88"/>
      <c r="BU104" s="88"/>
      <c r="BV104" s="143"/>
      <c r="BW104" s="12"/>
    </row>
    <row r="105" spans="16:75" x14ac:dyDescent="0.25">
      <c r="P105" s="10"/>
      <c r="Q105" s="168"/>
      <c r="R105" s="164"/>
      <c r="S105" s="164"/>
      <c r="T105" s="164">
        <f>IF(SPC!P5="",0,IF(T83&gt;=7,1,0))</f>
        <v>0</v>
      </c>
      <c r="U105" s="164" t="s">
        <v>186</v>
      </c>
      <c r="V105" s="164"/>
      <c r="W105" s="88"/>
      <c r="X105" s="88"/>
      <c r="Y105" s="88"/>
      <c r="Z105" s="88"/>
      <c r="AA105" s="88"/>
      <c r="AB105" s="88"/>
      <c r="AC105" s="88"/>
      <c r="AD105" s="88"/>
      <c r="AE105" s="88"/>
      <c r="AF105" s="88"/>
      <c r="AG105" s="88"/>
      <c r="AH105" s="88"/>
      <c r="AI105" s="88"/>
      <c r="AJ105" s="88"/>
      <c r="AK105" s="88"/>
      <c r="AL105" s="88"/>
      <c r="AM105" s="88"/>
      <c r="AN105" s="88"/>
      <c r="AO105" s="88"/>
      <c r="AP105" s="88"/>
      <c r="AQ105" s="88"/>
      <c r="AR105" s="88"/>
      <c r="AS105" s="88"/>
      <c r="AT105" s="88"/>
      <c r="AU105" s="88"/>
      <c r="AV105" s="88"/>
      <c r="AW105" s="88"/>
      <c r="AX105" s="88"/>
      <c r="AY105" s="88"/>
      <c r="AZ105" s="88"/>
      <c r="BA105" s="88"/>
      <c r="BB105" s="88"/>
      <c r="BC105" s="88"/>
      <c r="BD105" s="88"/>
      <c r="BE105" s="88"/>
      <c r="BF105" s="88"/>
      <c r="BG105" s="88"/>
      <c r="BH105" s="88"/>
      <c r="BI105" s="88"/>
      <c r="BJ105" s="88"/>
      <c r="BK105" s="88"/>
      <c r="BL105" s="88"/>
      <c r="BM105" s="88"/>
      <c r="BN105" s="88"/>
      <c r="BO105" s="88"/>
      <c r="BP105" s="88"/>
      <c r="BQ105" s="88"/>
      <c r="BR105" s="88"/>
      <c r="BS105" s="88"/>
      <c r="BT105" s="88"/>
      <c r="BU105" s="88"/>
      <c r="BV105" s="143"/>
      <c r="BW105" s="12"/>
    </row>
    <row r="106" spans="16:75" x14ac:dyDescent="0.25">
      <c r="P106" s="10"/>
      <c r="Q106" s="168"/>
      <c r="R106" s="164">
        <f>SUM(R92:R105)</f>
        <v>249</v>
      </c>
      <c r="S106" s="164">
        <f>SUM(S92:S105)</f>
        <v>291</v>
      </c>
      <c r="T106" s="164">
        <f ca="1">SUM(T92:T97,T102:T105)</f>
        <v>1</v>
      </c>
      <c r="U106" s="164" t="s">
        <v>117</v>
      </c>
      <c r="V106" s="164"/>
      <c r="W106" s="88"/>
      <c r="X106" s="88"/>
      <c r="Y106" s="88"/>
      <c r="Z106" s="88"/>
      <c r="AA106" s="88"/>
      <c r="AB106" s="88"/>
      <c r="AC106" s="88"/>
      <c r="AD106" s="88"/>
      <c r="AE106" s="88"/>
      <c r="AF106" s="88"/>
      <c r="AG106" s="88"/>
      <c r="AH106" s="88"/>
      <c r="AI106" s="88"/>
      <c r="AJ106" s="88"/>
      <c r="AK106" s="88"/>
      <c r="AL106" s="88"/>
      <c r="AM106" s="88"/>
      <c r="AN106" s="88"/>
      <c r="AO106" s="88"/>
      <c r="AP106" s="88"/>
      <c r="AQ106" s="88"/>
      <c r="AR106" s="88"/>
      <c r="AS106" s="88"/>
      <c r="AT106" s="88"/>
      <c r="AU106" s="88"/>
      <c r="AV106" s="88"/>
      <c r="AW106" s="88"/>
      <c r="AX106" s="88"/>
      <c r="AY106" s="88"/>
      <c r="AZ106" s="88"/>
      <c r="BA106" s="88"/>
      <c r="BB106" s="88"/>
      <c r="BC106" s="88"/>
      <c r="BD106" s="88"/>
      <c r="BE106" s="88"/>
      <c r="BF106" s="88"/>
      <c r="BG106" s="88"/>
      <c r="BH106" s="88"/>
      <c r="BI106" s="88"/>
      <c r="BJ106" s="88"/>
      <c r="BK106" s="88"/>
      <c r="BL106" s="88"/>
      <c r="BM106" s="88"/>
      <c r="BN106" s="88"/>
      <c r="BO106" s="88"/>
      <c r="BP106" s="88"/>
      <c r="BQ106" s="88"/>
      <c r="BR106" s="88"/>
      <c r="BS106" s="88"/>
      <c r="BT106" s="88"/>
      <c r="BU106" s="88"/>
      <c r="BV106" s="143"/>
      <c r="BW106" s="12"/>
    </row>
    <row r="107" spans="16:75" x14ac:dyDescent="0.25">
      <c r="P107" s="10"/>
      <c r="Q107" s="168"/>
      <c r="R107" s="164"/>
      <c r="S107" s="164"/>
      <c r="T107" s="164" t="s">
        <v>118</v>
      </c>
      <c r="U107" s="164"/>
      <c r="V107" s="164"/>
      <c r="W107" s="88"/>
      <c r="X107" s="88"/>
      <c r="Y107" s="88"/>
      <c r="Z107" s="88"/>
      <c r="AA107" s="88"/>
      <c r="AB107" s="88"/>
      <c r="AC107" s="88"/>
      <c r="AD107" s="88"/>
      <c r="AE107" s="88"/>
      <c r="AF107" s="88"/>
      <c r="AG107" s="88"/>
      <c r="AH107" s="88"/>
      <c r="AI107" s="88"/>
      <c r="AJ107" s="88"/>
      <c r="AK107" s="88"/>
      <c r="AL107" s="88"/>
      <c r="AM107" s="88"/>
      <c r="AN107" s="88"/>
      <c r="AO107" s="88"/>
      <c r="AP107" s="88"/>
      <c r="AQ107" s="88"/>
      <c r="AR107" s="88"/>
      <c r="AS107" s="88"/>
      <c r="AT107" s="88"/>
      <c r="AU107" s="88"/>
      <c r="AV107" s="88"/>
      <c r="AW107" s="88"/>
      <c r="AX107" s="88"/>
      <c r="AY107" s="88"/>
      <c r="AZ107" s="88"/>
      <c r="BA107" s="88"/>
      <c r="BB107" s="88"/>
      <c r="BC107" s="88"/>
      <c r="BD107" s="88"/>
      <c r="BE107" s="88"/>
      <c r="BF107" s="88"/>
      <c r="BG107" s="88"/>
      <c r="BH107" s="88"/>
      <c r="BI107" s="88"/>
      <c r="BJ107" s="88"/>
      <c r="BK107" s="88"/>
      <c r="BL107" s="88"/>
      <c r="BM107" s="88"/>
      <c r="BN107" s="88"/>
      <c r="BO107" s="88"/>
      <c r="BP107" s="88"/>
      <c r="BQ107" s="88"/>
      <c r="BR107" s="88"/>
      <c r="BS107" s="88"/>
      <c r="BT107" s="88"/>
      <c r="BU107" s="88"/>
      <c r="BV107" s="143"/>
      <c r="BW107" s="12"/>
    </row>
    <row r="108" spans="16:75" x14ac:dyDescent="0.25">
      <c r="P108" s="10"/>
      <c r="Q108" s="168"/>
      <c r="R108" s="164"/>
      <c r="S108" s="183" t="s">
        <v>129</v>
      </c>
      <c r="T108" s="164">
        <v>1</v>
      </c>
      <c r="U108" s="164" t="str">
        <f t="shared" ref="U108:U116" si="34">IF(T92=1,U92,"")</f>
        <v/>
      </c>
      <c r="V108" s="164"/>
      <c r="W108" s="88"/>
      <c r="X108" s="88"/>
      <c r="Y108" s="88">
        <v>1</v>
      </c>
      <c r="Z108" s="88" t="str">
        <f ca="1">IF(U108&amp;U109&amp;U110&lt;&gt;"",CONCATENATE(U108,S108,U109,S108,U110),"")</f>
        <v/>
      </c>
      <c r="AA108" s="88"/>
      <c r="AB108" s="88"/>
      <c r="AC108" s="88"/>
      <c r="AD108" s="88"/>
      <c r="AE108" s="88"/>
      <c r="AF108" s="88"/>
      <c r="AG108" s="88"/>
      <c r="AH108" s="88"/>
      <c r="AI108" s="88"/>
      <c r="AJ108" s="88"/>
      <c r="AK108" s="88"/>
      <c r="AL108" s="88"/>
      <c r="AM108" s="88"/>
      <c r="AN108" s="88"/>
      <c r="AO108" s="88"/>
      <c r="AP108" s="88"/>
      <c r="AQ108" s="88"/>
      <c r="AR108" s="88"/>
      <c r="AS108" s="88"/>
      <c r="AT108" s="88"/>
      <c r="AU108" s="88"/>
      <c r="AV108" s="88"/>
      <c r="AW108" s="88"/>
      <c r="AX108" s="88"/>
      <c r="AY108" s="88"/>
      <c r="AZ108" s="88"/>
      <c r="BA108" s="88"/>
      <c r="BB108" s="88"/>
      <c r="BC108" s="88"/>
      <c r="BD108" s="88"/>
      <c r="BE108" s="88"/>
      <c r="BF108" s="88"/>
      <c r="BG108" s="88"/>
      <c r="BH108" s="88"/>
      <c r="BI108" s="88"/>
      <c r="BJ108" s="88"/>
      <c r="BK108" s="88"/>
      <c r="BL108" s="88"/>
      <c r="BM108" s="88"/>
      <c r="BN108" s="88"/>
      <c r="BO108" s="88"/>
      <c r="BP108" s="88"/>
      <c r="BQ108" s="88"/>
      <c r="BR108" s="88"/>
      <c r="BS108" s="88"/>
      <c r="BT108" s="88"/>
      <c r="BU108" s="88"/>
      <c r="BV108" s="143"/>
      <c r="BW108" s="12"/>
    </row>
    <row r="109" spans="16:75" x14ac:dyDescent="0.25">
      <c r="P109" s="10"/>
      <c r="Q109" s="168"/>
      <c r="R109" s="164"/>
      <c r="S109" s="183" t="s">
        <v>129</v>
      </c>
      <c r="T109" s="164">
        <f t="shared" ref="T109:T116" si="35">1+T108</f>
        <v>2</v>
      </c>
      <c r="U109" s="164" t="str">
        <f t="shared" si="34"/>
        <v/>
      </c>
      <c r="V109" s="164"/>
      <c r="W109" s="88"/>
      <c r="X109" s="88"/>
      <c r="Y109" s="88"/>
      <c r="Z109" s="88"/>
      <c r="AA109" s="88"/>
      <c r="AB109" s="88"/>
      <c r="AC109" s="88"/>
      <c r="AD109" s="88"/>
      <c r="AE109" s="88"/>
      <c r="AF109" s="88"/>
      <c r="AG109" s="88"/>
      <c r="AH109" s="88"/>
      <c r="AI109" s="88"/>
      <c r="AJ109" s="88"/>
      <c r="AK109" s="88"/>
      <c r="AL109" s="88"/>
      <c r="AM109" s="88"/>
      <c r="AN109" s="88"/>
      <c r="AO109" s="88"/>
      <c r="AP109" s="88"/>
      <c r="AQ109" s="88"/>
      <c r="AR109" s="88"/>
      <c r="AS109" s="88"/>
      <c r="AT109" s="88"/>
      <c r="AU109" s="88"/>
      <c r="AV109" s="88"/>
      <c r="AW109" s="88"/>
      <c r="AX109" s="88"/>
      <c r="AY109" s="88"/>
      <c r="AZ109" s="88"/>
      <c r="BA109" s="88"/>
      <c r="BB109" s="88"/>
      <c r="BC109" s="88"/>
      <c r="BD109" s="88"/>
      <c r="BE109" s="88"/>
      <c r="BF109" s="88"/>
      <c r="BG109" s="88"/>
      <c r="BH109" s="88"/>
      <c r="BI109" s="88"/>
      <c r="BJ109" s="88"/>
      <c r="BK109" s="88"/>
      <c r="BL109" s="88"/>
      <c r="BM109" s="88"/>
      <c r="BN109" s="88"/>
      <c r="BO109" s="88"/>
      <c r="BP109" s="88"/>
      <c r="BQ109" s="88"/>
      <c r="BR109" s="88"/>
      <c r="BS109" s="88"/>
      <c r="BT109" s="88"/>
      <c r="BU109" s="88"/>
      <c r="BV109" s="143"/>
      <c r="BW109" s="12"/>
    </row>
    <row r="110" spans="16:75" x14ac:dyDescent="0.25">
      <c r="P110" s="10"/>
      <c r="Q110" s="168"/>
      <c r="R110" s="164"/>
      <c r="S110" s="183" t="s">
        <v>129</v>
      </c>
      <c r="T110" s="164">
        <f t="shared" si="35"/>
        <v>3</v>
      </c>
      <c r="U110" s="164" t="str">
        <f t="shared" ca="1" si="34"/>
        <v/>
      </c>
      <c r="V110" s="164"/>
      <c r="W110" s="88"/>
      <c r="X110" s="88"/>
      <c r="Y110" s="88"/>
      <c r="Z110" s="88"/>
      <c r="AA110" s="88"/>
      <c r="AB110" s="88"/>
      <c r="AC110" s="88"/>
      <c r="AD110" s="88"/>
      <c r="AE110" s="88"/>
      <c r="AF110" s="88"/>
      <c r="AG110" s="88"/>
      <c r="AH110" s="88"/>
      <c r="AI110" s="88"/>
      <c r="AJ110" s="88"/>
      <c r="AK110" s="88"/>
      <c r="AL110" s="88"/>
      <c r="AM110" s="88"/>
      <c r="AN110" s="88"/>
      <c r="AO110" s="88"/>
      <c r="AP110" s="88"/>
      <c r="AQ110" s="88"/>
      <c r="AR110" s="88"/>
      <c r="AS110" s="88"/>
      <c r="AT110" s="88"/>
      <c r="AU110" s="88"/>
      <c r="AV110" s="88"/>
      <c r="AW110" s="88"/>
      <c r="AX110" s="88"/>
      <c r="AY110" s="88"/>
      <c r="AZ110" s="88"/>
      <c r="BA110" s="88"/>
      <c r="BB110" s="88"/>
      <c r="BC110" s="88"/>
      <c r="BD110" s="88"/>
      <c r="BE110" s="88"/>
      <c r="BF110" s="88"/>
      <c r="BG110" s="88"/>
      <c r="BH110" s="88"/>
      <c r="BI110" s="88"/>
      <c r="BJ110" s="88"/>
      <c r="BK110" s="88"/>
      <c r="BL110" s="88"/>
      <c r="BM110" s="88"/>
      <c r="BN110" s="88"/>
      <c r="BO110" s="88"/>
      <c r="BP110" s="88"/>
      <c r="BQ110" s="88"/>
      <c r="BR110" s="88"/>
      <c r="BS110" s="88"/>
      <c r="BT110" s="88"/>
      <c r="BU110" s="88"/>
      <c r="BV110" s="143"/>
      <c r="BW110" s="12"/>
    </row>
    <row r="111" spans="16:75" x14ac:dyDescent="0.25">
      <c r="P111" s="10"/>
      <c r="Q111" s="168"/>
      <c r="R111" s="164"/>
      <c r="S111" s="183" t="s">
        <v>129</v>
      </c>
      <c r="T111" s="164">
        <f t="shared" si="35"/>
        <v>4</v>
      </c>
      <c r="U111" s="164" t="str">
        <f t="shared" si="34"/>
        <v/>
      </c>
      <c r="V111" s="164"/>
      <c r="W111" s="88"/>
      <c r="X111" s="88"/>
      <c r="Y111" s="88">
        <v>2</v>
      </c>
      <c r="Z111" s="88" t="str">
        <f ca="1">IF(U111&amp;U112&amp;U113&lt;&gt;"",CONCATENATE(U111,S111,U112,S111,U113),"")</f>
        <v xml:space="preserve">      With out of control limits (R chart)</v>
      </c>
      <c r="AA111" s="88"/>
      <c r="AB111" s="88"/>
      <c r="AC111" s="88"/>
      <c r="AD111" s="88"/>
      <c r="AE111" s="88"/>
      <c r="AF111" s="88"/>
      <c r="AG111" s="88"/>
      <c r="AH111" s="88"/>
      <c r="AI111" s="88"/>
      <c r="AJ111" s="88"/>
      <c r="AK111" s="88"/>
      <c r="AL111" s="88"/>
      <c r="AM111" s="88"/>
      <c r="AN111" s="88"/>
      <c r="AO111" s="88"/>
      <c r="AP111" s="88"/>
      <c r="AQ111" s="88"/>
      <c r="AR111" s="88"/>
      <c r="AS111" s="88"/>
      <c r="AT111" s="88"/>
      <c r="AU111" s="88"/>
      <c r="AV111" s="88"/>
      <c r="AW111" s="88"/>
      <c r="AX111" s="88"/>
      <c r="AY111" s="88"/>
      <c r="AZ111" s="88"/>
      <c r="BA111" s="88"/>
      <c r="BB111" s="88"/>
      <c r="BC111" s="88"/>
      <c r="BD111" s="88"/>
      <c r="BE111" s="88"/>
      <c r="BF111" s="88"/>
      <c r="BG111" s="88"/>
      <c r="BH111" s="88"/>
      <c r="BI111" s="88"/>
      <c r="BJ111" s="88"/>
      <c r="BK111" s="88"/>
      <c r="BL111" s="88"/>
      <c r="BM111" s="88"/>
      <c r="BN111" s="88"/>
      <c r="BO111" s="88"/>
      <c r="BP111" s="88"/>
      <c r="BQ111" s="88"/>
      <c r="BR111" s="88"/>
      <c r="BS111" s="88"/>
      <c r="BT111" s="88"/>
      <c r="BU111" s="88"/>
      <c r="BV111" s="143"/>
      <c r="BW111" s="12"/>
    </row>
    <row r="112" spans="16:75" x14ac:dyDescent="0.25">
      <c r="P112" s="10"/>
      <c r="Q112" s="168"/>
      <c r="R112" s="164"/>
      <c r="S112" s="183" t="s">
        <v>129</v>
      </c>
      <c r="T112" s="164">
        <f t="shared" si="35"/>
        <v>5</v>
      </c>
      <c r="U112" s="164" t="str">
        <f t="shared" si="34"/>
        <v/>
      </c>
      <c r="V112" s="164"/>
      <c r="W112" s="88"/>
      <c r="X112" s="88"/>
      <c r="Y112" s="88"/>
      <c r="Z112" s="88"/>
      <c r="AA112" s="88"/>
      <c r="AB112" s="88"/>
      <c r="AC112" s="88"/>
      <c r="AD112" s="88"/>
      <c r="AE112" s="88"/>
      <c r="AF112" s="88"/>
      <c r="AG112" s="88"/>
      <c r="AH112" s="88"/>
      <c r="AI112" s="88"/>
      <c r="AJ112" s="88"/>
      <c r="AK112" s="88"/>
      <c r="AL112" s="88"/>
      <c r="AM112" s="88"/>
      <c r="AN112" s="88"/>
      <c r="AO112" s="88"/>
      <c r="AP112" s="88"/>
      <c r="AQ112" s="88"/>
      <c r="AR112" s="88"/>
      <c r="AS112" s="88"/>
      <c r="AT112" s="88"/>
      <c r="AU112" s="88"/>
      <c r="AV112" s="88"/>
      <c r="AW112" s="88"/>
      <c r="AX112" s="88"/>
      <c r="AY112" s="88"/>
      <c r="AZ112" s="88"/>
      <c r="BA112" s="88"/>
      <c r="BB112" s="88"/>
      <c r="BC112" s="88"/>
      <c r="BD112" s="88"/>
      <c r="BE112" s="88"/>
      <c r="BF112" s="88"/>
      <c r="BG112" s="88"/>
      <c r="BH112" s="88"/>
      <c r="BI112" s="88"/>
      <c r="BJ112" s="88"/>
      <c r="BK112" s="88"/>
      <c r="BL112" s="88"/>
      <c r="BM112" s="88"/>
      <c r="BN112" s="88"/>
      <c r="BO112" s="88"/>
      <c r="BP112" s="88"/>
      <c r="BQ112" s="88"/>
      <c r="BR112" s="88"/>
      <c r="BS112" s="88"/>
      <c r="BT112" s="88"/>
      <c r="BU112" s="88"/>
      <c r="BV112" s="143"/>
      <c r="BW112" s="12"/>
    </row>
    <row r="113" spans="16:75" x14ac:dyDescent="0.25">
      <c r="P113" s="10"/>
      <c r="Q113" s="168"/>
      <c r="R113" s="164"/>
      <c r="S113" s="183" t="s">
        <v>129</v>
      </c>
      <c r="T113" s="164">
        <f t="shared" si="35"/>
        <v>6</v>
      </c>
      <c r="U113" s="164" t="str">
        <f t="shared" ca="1" si="34"/>
        <v>With out of control limits (R chart)</v>
      </c>
      <c r="V113" s="164"/>
      <c r="W113" s="88"/>
      <c r="X113" s="88"/>
      <c r="Y113" s="88"/>
      <c r="Z113" s="88"/>
      <c r="AA113" s="88"/>
      <c r="AB113" s="88"/>
      <c r="AC113" s="88"/>
      <c r="AD113" s="88"/>
      <c r="AE113" s="88"/>
      <c r="AF113" s="88"/>
      <c r="AG113" s="88"/>
      <c r="AH113" s="88"/>
      <c r="AI113" s="88"/>
      <c r="AJ113" s="88"/>
      <c r="AK113" s="88"/>
      <c r="AL113" s="88"/>
      <c r="AM113" s="88"/>
      <c r="AN113" s="88"/>
      <c r="AO113" s="88"/>
      <c r="AP113" s="88"/>
      <c r="AQ113" s="88"/>
      <c r="AR113" s="88"/>
      <c r="AS113" s="88"/>
      <c r="AT113" s="88"/>
      <c r="AU113" s="88"/>
      <c r="AV113" s="88"/>
      <c r="AW113" s="88"/>
      <c r="AX113" s="88"/>
      <c r="AY113" s="88"/>
      <c r="AZ113" s="88"/>
      <c r="BA113" s="88"/>
      <c r="BB113" s="88"/>
      <c r="BC113" s="88"/>
      <c r="BD113" s="88"/>
      <c r="BE113" s="88"/>
      <c r="BF113" s="88"/>
      <c r="BG113" s="88"/>
      <c r="BH113" s="88"/>
      <c r="BI113" s="88"/>
      <c r="BJ113" s="88"/>
      <c r="BK113" s="88"/>
      <c r="BL113" s="88"/>
      <c r="BM113" s="88"/>
      <c r="BN113" s="88"/>
      <c r="BO113" s="88"/>
      <c r="BP113" s="88"/>
      <c r="BQ113" s="88"/>
      <c r="BR113" s="88"/>
      <c r="BS113" s="88"/>
      <c r="BT113" s="88"/>
      <c r="BU113" s="88"/>
      <c r="BV113" s="143"/>
      <c r="BW113" s="12"/>
    </row>
    <row r="114" spans="16:75" x14ac:dyDescent="0.25">
      <c r="P114" s="10"/>
      <c r="Q114" s="168"/>
      <c r="R114" s="164"/>
      <c r="S114" s="183" t="s">
        <v>129</v>
      </c>
      <c r="T114" s="164">
        <f t="shared" si="35"/>
        <v>7</v>
      </c>
      <c r="U114" s="164" t="str">
        <f t="shared" ca="1" si="34"/>
        <v/>
      </c>
      <c r="V114" s="164"/>
      <c r="W114" s="88"/>
      <c r="X114" s="88"/>
      <c r="Y114" s="88">
        <v>3</v>
      </c>
      <c r="Z114" s="164" t="str">
        <f ca="1">IF(T98=1,U98,"")</f>
        <v/>
      </c>
      <c r="AA114" s="88"/>
      <c r="AB114" s="88"/>
      <c r="AC114" s="88"/>
      <c r="AD114" s="88"/>
      <c r="AE114" s="88"/>
      <c r="AF114" s="88"/>
      <c r="AG114" s="88"/>
      <c r="AH114" s="88"/>
      <c r="AI114" s="88"/>
      <c r="AJ114" s="88"/>
      <c r="AK114" s="88"/>
      <c r="AL114" s="88"/>
      <c r="AM114" s="88"/>
      <c r="AN114" s="88"/>
      <c r="AO114" s="88"/>
      <c r="AP114" s="88"/>
      <c r="AQ114" s="88"/>
      <c r="AR114" s="88"/>
      <c r="AS114" s="88"/>
      <c r="AT114" s="88"/>
      <c r="AU114" s="88"/>
      <c r="AV114" s="88"/>
      <c r="AW114" s="88"/>
      <c r="AX114" s="88"/>
      <c r="AY114" s="88"/>
      <c r="AZ114" s="88"/>
      <c r="BA114" s="88"/>
      <c r="BB114" s="88"/>
      <c r="BC114" s="88"/>
      <c r="BD114" s="88"/>
      <c r="BE114" s="88"/>
      <c r="BF114" s="88"/>
      <c r="BG114" s="88"/>
      <c r="BH114" s="88"/>
      <c r="BI114" s="88"/>
      <c r="BJ114" s="88"/>
      <c r="BK114" s="88"/>
      <c r="BL114" s="88"/>
      <c r="BM114" s="88"/>
      <c r="BN114" s="88"/>
      <c r="BO114" s="88"/>
      <c r="BP114" s="88"/>
      <c r="BQ114" s="88"/>
      <c r="BR114" s="88"/>
      <c r="BS114" s="88"/>
      <c r="BT114" s="88"/>
      <c r="BU114" s="88"/>
      <c r="BV114" s="143"/>
      <c r="BW114" s="12"/>
    </row>
    <row r="115" spans="16:75" x14ac:dyDescent="0.25">
      <c r="P115" s="10"/>
      <c r="Q115" s="168"/>
      <c r="R115" s="164"/>
      <c r="S115" s="183" t="s">
        <v>129</v>
      </c>
      <c r="T115" s="164">
        <f t="shared" si="35"/>
        <v>8</v>
      </c>
      <c r="U115" s="164" t="str">
        <f t="shared" ca="1" si="34"/>
        <v/>
      </c>
      <c r="V115" s="164"/>
      <c r="W115" s="88"/>
      <c r="X115" s="88"/>
      <c r="Y115" s="88">
        <v>4</v>
      </c>
      <c r="Z115" s="164" t="str">
        <f ca="1">IF(T99=1,U99,"")</f>
        <v/>
      </c>
      <c r="AA115" s="88"/>
      <c r="AB115" s="88"/>
      <c r="AC115" s="88"/>
      <c r="AD115" s="88"/>
      <c r="AE115" s="88"/>
      <c r="AF115" s="88"/>
      <c r="AG115" s="88"/>
      <c r="AH115" s="88"/>
      <c r="AI115" s="88"/>
      <c r="AJ115" s="88"/>
      <c r="AK115" s="88"/>
      <c r="AL115" s="88"/>
      <c r="AM115" s="88"/>
      <c r="AN115" s="88"/>
      <c r="AO115" s="88"/>
      <c r="AP115" s="88"/>
      <c r="AQ115" s="88"/>
      <c r="AR115" s="88"/>
      <c r="AS115" s="88"/>
      <c r="AT115" s="88"/>
      <c r="AU115" s="88"/>
      <c r="AV115" s="88"/>
      <c r="AW115" s="88"/>
      <c r="AX115" s="88"/>
      <c r="AY115" s="88"/>
      <c r="AZ115" s="88"/>
      <c r="BA115" s="88"/>
      <c r="BB115" s="88"/>
      <c r="BC115" s="88"/>
      <c r="BD115" s="88"/>
      <c r="BE115" s="88"/>
      <c r="BF115" s="88"/>
      <c r="BG115" s="88"/>
      <c r="BH115" s="88"/>
      <c r="BI115" s="88"/>
      <c r="BJ115" s="88"/>
      <c r="BK115" s="88"/>
      <c r="BL115" s="88"/>
      <c r="BM115" s="88"/>
      <c r="BN115" s="88"/>
      <c r="BO115" s="88"/>
      <c r="BP115" s="88"/>
      <c r="BQ115" s="88"/>
      <c r="BR115" s="88"/>
      <c r="BS115" s="88"/>
      <c r="BT115" s="88"/>
      <c r="BU115" s="88"/>
      <c r="BV115" s="143"/>
      <c r="BW115" s="12"/>
    </row>
    <row r="116" spans="16:75" x14ac:dyDescent="0.25">
      <c r="P116" s="10"/>
      <c r="Q116" s="168"/>
      <c r="R116" s="164"/>
      <c r="S116" s="183" t="s">
        <v>129</v>
      </c>
      <c r="T116" s="164">
        <f t="shared" si="35"/>
        <v>9</v>
      </c>
      <c r="U116" s="164" t="str">
        <f t="shared" ca="1" si="34"/>
        <v>The process does not currently meet the acceptance criteria.</v>
      </c>
      <c r="V116" s="164"/>
      <c r="W116" s="88"/>
      <c r="X116" s="88"/>
      <c r="Y116" s="88">
        <v>5</v>
      </c>
      <c r="Z116" s="164" t="str">
        <f ca="1">IF(T100=1,U116,"")</f>
        <v>The process does not currently meet the acceptance criteria.</v>
      </c>
      <c r="AA116" s="88"/>
      <c r="AB116" s="88"/>
      <c r="AC116" s="88"/>
      <c r="AD116" s="88"/>
      <c r="AE116" s="88"/>
      <c r="AF116" s="88"/>
      <c r="AG116" s="88"/>
      <c r="AH116" s="88"/>
      <c r="AI116" s="88"/>
      <c r="AJ116" s="88"/>
      <c r="AK116" s="88"/>
      <c r="AL116" s="88"/>
      <c r="AM116" s="88"/>
      <c r="AN116" s="88"/>
      <c r="AO116" s="88"/>
      <c r="AP116" s="88"/>
      <c r="AQ116" s="88"/>
      <c r="AR116" s="88"/>
      <c r="AS116" s="88"/>
      <c r="AT116" s="88"/>
      <c r="AU116" s="88"/>
      <c r="AV116" s="88"/>
      <c r="AW116" s="88"/>
      <c r="AX116" s="88"/>
      <c r="AY116" s="88"/>
      <c r="AZ116" s="88"/>
      <c r="BA116" s="88"/>
      <c r="BB116" s="88"/>
      <c r="BC116" s="88"/>
      <c r="BD116" s="88"/>
      <c r="BE116" s="88"/>
      <c r="BF116" s="88"/>
      <c r="BG116" s="88"/>
      <c r="BH116" s="88"/>
      <c r="BI116" s="88"/>
      <c r="BJ116" s="88"/>
      <c r="BK116" s="88"/>
      <c r="BL116" s="88"/>
      <c r="BM116" s="88"/>
      <c r="BN116" s="88"/>
      <c r="BO116" s="88"/>
      <c r="BP116" s="88"/>
      <c r="BQ116" s="88"/>
      <c r="BR116" s="88"/>
      <c r="BS116" s="88"/>
      <c r="BT116" s="88"/>
      <c r="BU116" s="88"/>
      <c r="BV116" s="143"/>
      <c r="BW116" s="12"/>
    </row>
    <row r="117" spans="16:75" x14ac:dyDescent="0.25">
      <c r="P117" s="25"/>
      <c r="Q117" s="168"/>
      <c r="R117" s="88"/>
      <c r="S117" s="88"/>
      <c r="T117" s="88"/>
      <c r="U117" s="164" t="e">
        <f>IF(AND(SPC!#REF!="With presence of Special Cause.",SPC!#REF!=1),U101,"")</f>
        <v>#REF!</v>
      </c>
      <c r="V117" s="88"/>
      <c r="W117" s="88"/>
      <c r="X117" s="88"/>
      <c r="Y117" s="88">
        <v>6</v>
      </c>
      <c r="Z117" s="88" t="e">
        <f>IF(SPC!#REF!="With presence of Special Cause.",U117,"")</f>
        <v>#REF!</v>
      </c>
      <c r="AA117" s="88"/>
      <c r="AB117" s="88"/>
      <c r="AC117" s="88"/>
      <c r="AD117" s="88"/>
      <c r="AE117" s="88"/>
      <c r="AF117" s="88"/>
      <c r="AG117" s="88"/>
      <c r="AH117" s="88"/>
      <c r="AI117" s="88"/>
      <c r="AJ117" s="88"/>
      <c r="AK117" s="88"/>
      <c r="AL117" s="88"/>
      <c r="AM117" s="88"/>
      <c r="AN117" s="88"/>
      <c r="AO117" s="88"/>
      <c r="AP117" s="88"/>
      <c r="AQ117" s="88"/>
      <c r="AR117" s="88"/>
      <c r="AS117" s="88"/>
      <c r="AT117" s="88"/>
      <c r="AU117" s="88"/>
      <c r="AV117" s="88"/>
      <c r="AW117" s="88"/>
      <c r="AX117" s="88"/>
      <c r="AY117" s="88"/>
      <c r="AZ117" s="88"/>
      <c r="BA117" s="88"/>
      <c r="BB117" s="88"/>
      <c r="BC117" s="88"/>
      <c r="BD117" s="88"/>
      <c r="BE117" s="88"/>
      <c r="BF117" s="88"/>
      <c r="BG117" s="88"/>
      <c r="BH117" s="88"/>
      <c r="BI117" s="88"/>
      <c r="BJ117" s="88"/>
      <c r="BK117" s="88"/>
      <c r="BL117" s="88"/>
      <c r="BM117" s="88"/>
      <c r="BN117" s="88"/>
      <c r="BO117" s="88"/>
      <c r="BP117" s="88"/>
      <c r="BQ117" s="88"/>
      <c r="BR117" s="88"/>
      <c r="BS117" s="88"/>
      <c r="BT117" s="88"/>
      <c r="BU117" s="88"/>
      <c r="BV117" s="143"/>
      <c r="BW117" s="12"/>
    </row>
    <row r="118" spans="16:75" x14ac:dyDescent="0.25">
      <c r="P118" s="10"/>
      <c r="Q118" s="168"/>
      <c r="R118" s="164"/>
      <c r="S118" s="183" t="s">
        <v>129</v>
      </c>
      <c r="T118" s="164">
        <f>1+T116</f>
        <v>10</v>
      </c>
      <c r="U118" s="164" t="str">
        <f>IF(T102=1,U102,"")</f>
        <v/>
      </c>
      <c r="V118" s="164"/>
      <c r="W118" s="88"/>
      <c r="X118" s="88"/>
      <c r="Y118" s="88">
        <v>7</v>
      </c>
      <c r="Z118" s="88" t="str">
        <f>IF(U118&amp;U119&lt;&gt;"",CONCATENATE(U118,S118,U119),"")</f>
        <v/>
      </c>
      <c r="AA118" s="88"/>
      <c r="AB118" s="88"/>
      <c r="AC118" s="88"/>
      <c r="AD118" s="88"/>
      <c r="AE118" s="88"/>
      <c r="AF118" s="88"/>
      <c r="AG118" s="88"/>
      <c r="AH118" s="88"/>
      <c r="AI118" s="88"/>
      <c r="AJ118" s="88"/>
      <c r="AK118" s="88"/>
      <c r="AL118" s="88"/>
      <c r="AM118" s="88"/>
      <c r="AN118" s="88"/>
      <c r="AO118" s="88"/>
      <c r="AP118" s="88"/>
      <c r="AQ118" s="88"/>
      <c r="AR118" s="88"/>
      <c r="AS118" s="88"/>
      <c r="AT118" s="88"/>
      <c r="AU118" s="88"/>
      <c r="AV118" s="88"/>
      <c r="AW118" s="88"/>
      <c r="AX118" s="88"/>
      <c r="AY118" s="88"/>
      <c r="AZ118" s="88"/>
      <c r="BA118" s="88"/>
      <c r="BB118" s="88"/>
      <c r="BC118" s="88"/>
      <c r="BD118" s="88"/>
      <c r="BE118" s="88"/>
      <c r="BF118" s="88"/>
      <c r="BG118" s="88"/>
      <c r="BH118" s="88"/>
      <c r="BI118" s="88"/>
      <c r="BJ118" s="88"/>
      <c r="BK118" s="88"/>
      <c r="BL118" s="88"/>
      <c r="BM118" s="88"/>
      <c r="BN118" s="88"/>
      <c r="BO118" s="88"/>
      <c r="BP118" s="88"/>
      <c r="BQ118" s="88"/>
      <c r="BR118" s="88"/>
      <c r="BS118" s="88"/>
      <c r="BT118" s="88"/>
      <c r="BU118" s="88"/>
      <c r="BV118" s="143"/>
      <c r="BW118" s="12"/>
    </row>
    <row r="119" spans="16:75" x14ac:dyDescent="0.25">
      <c r="P119" s="10"/>
      <c r="Q119" s="168"/>
      <c r="R119" s="164"/>
      <c r="S119" s="183" t="s">
        <v>129</v>
      </c>
      <c r="T119" s="164">
        <f t="shared" ref="T119:T124" si="36">1+T118</f>
        <v>11</v>
      </c>
      <c r="U119" s="164" t="str">
        <f>IF(T103=1,U103,"")</f>
        <v/>
      </c>
      <c r="V119" s="164"/>
      <c r="W119" s="88"/>
      <c r="X119" s="88"/>
      <c r="Y119" s="88"/>
      <c r="Z119" s="88"/>
      <c r="AA119" s="88"/>
      <c r="AB119" s="88"/>
      <c r="AC119" s="88"/>
      <c r="AD119" s="88"/>
      <c r="AE119" s="88"/>
      <c r="AF119" s="88"/>
      <c r="AG119" s="88"/>
      <c r="AH119" s="88"/>
      <c r="AI119" s="88"/>
      <c r="AJ119" s="88"/>
      <c r="AK119" s="88"/>
      <c r="AL119" s="88"/>
      <c r="AM119" s="88"/>
      <c r="AN119" s="88"/>
      <c r="AO119" s="88"/>
      <c r="AP119" s="88"/>
      <c r="AQ119" s="88"/>
      <c r="AR119" s="88"/>
      <c r="AS119" s="88"/>
      <c r="AT119" s="88"/>
      <c r="AU119" s="88"/>
      <c r="AV119" s="88"/>
      <c r="AW119" s="88"/>
      <c r="AX119" s="88"/>
      <c r="AY119" s="88"/>
      <c r="AZ119" s="88"/>
      <c r="BA119" s="88"/>
      <c r="BB119" s="88"/>
      <c r="BC119" s="88"/>
      <c r="BD119" s="88"/>
      <c r="BE119" s="88"/>
      <c r="BF119" s="88"/>
      <c r="BG119" s="88"/>
      <c r="BH119" s="88"/>
      <c r="BI119" s="88"/>
      <c r="BJ119" s="88"/>
      <c r="BK119" s="88"/>
      <c r="BL119" s="88"/>
      <c r="BM119" s="88"/>
      <c r="BN119" s="88"/>
      <c r="BO119" s="88"/>
      <c r="BP119" s="88"/>
      <c r="BQ119" s="88"/>
      <c r="BR119" s="88"/>
      <c r="BS119" s="88"/>
      <c r="BT119" s="88"/>
      <c r="BU119" s="88"/>
      <c r="BV119" s="143"/>
      <c r="BW119" s="12"/>
    </row>
    <row r="120" spans="16:75" x14ac:dyDescent="0.25">
      <c r="P120" s="10"/>
      <c r="Q120" s="184"/>
      <c r="R120" s="164"/>
      <c r="S120" s="183" t="s">
        <v>129</v>
      </c>
      <c r="T120" s="164">
        <f t="shared" si="36"/>
        <v>12</v>
      </c>
      <c r="U120" s="164" t="str">
        <f>IF(T104=1,U104,"")</f>
        <v/>
      </c>
      <c r="V120" s="164"/>
      <c r="W120" s="88"/>
      <c r="X120" s="88"/>
      <c r="Y120" s="88">
        <v>8</v>
      </c>
      <c r="Z120" s="88" t="str">
        <f>IF(U120&amp;U121&lt;&gt;"",CONCATENATE(U120,S120,U121),"")</f>
        <v/>
      </c>
      <c r="AA120" s="88"/>
      <c r="AB120" s="88"/>
      <c r="AC120" s="88"/>
      <c r="AD120" s="88"/>
      <c r="AE120" s="88"/>
      <c r="AF120" s="88"/>
      <c r="AG120" s="88"/>
      <c r="AH120" s="88"/>
      <c r="AI120" s="88"/>
      <c r="AJ120" s="88"/>
      <c r="AK120" s="88"/>
      <c r="AL120" s="88"/>
      <c r="AM120" s="88"/>
      <c r="AN120" s="88"/>
      <c r="AO120" s="88"/>
      <c r="AP120" s="88"/>
      <c r="AQ120" s="88"/>
      <c r="AR120" s="88"/>
      <c r="AS120" s="88"/>
      <c r="AT120" s="88"/>
      <c r="AU120" s="88"/>
      <c r="AV120" s="88"/>
      <c r="AW120" s="88"/>
      <c r="AX120" s="88"/>
      <c r="AY120" s="88"/>
      <c r="AZ120" s="88"/>
      <c r="BA120" s="88"/>
      <c r="BB120" s="88"/>
      <c r="BC120" s="88"/>
      <c r="BD120" s="88"/>
      <c r="BE120" s="88"/>
      <c r="BF120" s="88"/>
      <c r="BG120" s="88"/>
      <c r="BH120" s="88"/>
      <c r="BI120" s="88"/>
      <c r="BJ120" s="88"/>
      <c r="BK120" s="88"/>
      <c r="BL120" s="88"/>
      <c r="BM120" s="88"/>
      <c r="BN120" s="88"/>
      <c r="BO120" s="88"/>
      <c r="BP120" s="88"/>
      <c r="BQ120" s="88"/>
      <c r="BR120" s="88"/>
      <c r="BS120" s="88"/>
      <c r="BT120" s="88"/>
      <c r="BU120" s="88"/>
      <c r="BV120" s="143"/>
      <c r="BW120" s="12"/>
    </row>
    <row r="121" spans="16:75" x14ac:dyDescent="0.25">
      <c r="P121" s="10"/>
      <c r="Q121" s="168"/>
      <c r="R121" s="164"/>
      <c r="S121" s="183" t="s">
        <v>129</v>
      </c>
      <c r="T121" s="164">
        <f t="shared" si="36"/>
        <v>13</v>
      </c>
      <c r="U121" s="164" t="str">
        <f>IF(T105=1,U105,"")</f>
        <v/>
      </c>
      <c r="V121" s="164"/>
      <c r="W121" s="88"/>
      <c r="X121" s="88"/>
      <c r="Y121" s="88"/>
      <c r="Z121" s="88"/>
      <c r="AA121" s="88"/>
      <c r="AB121" s="88"/>
      <c r="AC121" s="88"/>
      <c r="AD121" s="88"/>
      <c r="AE121" s="88"/>
      <c r="AF121" s="88"/>
      <c r="AG121" s="88"/>
      <c r="AH121" s="88"/>
      <c r="AI121" s="88"/>
      <c r="AJ121" s="88"/>
      <c r="AK121" s="88"/>
      <c r="AL121" s="88"/>
      <c r="AM121" s="88"/>
      <c r="AN121" s="88"/>
      <c r="AO121" s="88"/>
      <c r="AP121" s="88"/>
      <c r="AQ121" s="88"/>
      <c r="AR121" s="88"/>
      <c r="AS121" s="88"/>
      <c r="AT121" s="88"/>
      <c r="AU121" s="88"/>
      <c r="AV121" s="88"/>
      <c r="AW121" s="88"/>
      <c r="AX121" s="88"/>
      <c r="AY121" s="88"/>
      <c r="AZ121" s="88"/>
      <c r="BA121" s="88"/>
      <c r="BB121" s="88"/>
      <c r="BC121" s="88"/>
      <c r="BD121" s="88"/>
      <c r="BE121" s="88"/>
      <c r="BF121" s="88"/>
      <c r="BG121" s="88"/>
      <c r="BH121" s="88"/>
      <c r="BI121" s="88"/>
      <c r="BJ121" s="88"/>
      <c r="BK121" s="88"/>
      <c r="BL121" s="88"/>
      <c r="BM121" s="88"/>
      <c r="BN121" s="88"/>
      <c r="BO121" s="88"/>
      <c r="BP121" s="88"/>
      <c r="BQ121" s="88"/>
      <c r="BR121" s="88"/>
      <c r="BS121" s="88"/>
      <c r="BT121" s="88"/>
      <c r="BU121" s="88"/>
      <c r="BV121" s="143"/>
      <c r="BW121" s="12"/>
    </row>
    <row r="122" spans="16:75" x14ac:dyDescent="0.25">
      <c r="P122" s="10"/>
      <c r="Q122" s="168"/>
      <c r="R122" s="88"/>
      <c r="S122" s="183" t="s">
        <v>129</v>
      </c>
      <c r="T122" s="164">
        <f t="shared" si="36"/>
        <v>14</v>
      </c>
      <c r="U122" s="88" t="e">
        <f ca="1">IF(AB98=1,AC98,"")</f>
        <v>#REF!</v>
      </c>
      <c r="V122" s="88"/>
      <c r="W122" s="88"/>
      <c r="X122" s="88"/>
      <c r="Y122" s="88">
        <v>9</v>
      </c>
      <c r="Z122" s="88" t="e">
        <f ca="1">IF(U122&amp;U123&lt;&gt;"",CONCATENATE(U122,S122,U123),"")</f>
        <v>#REF!</v>
      </c>
      <c r="AA122" s="88"/>
      <c r="AB122" s="88"/>
      <c r="AC122" s="88"/>
      <c r="AD122" s="88"/>
      <c r="AE122" s="88"/>
      <c r="AF122" s="88"/>
      <c r="AG122" s="88"/>
      <c r="AH122" s="88"/>
      <c r="AI122" s="88"/>
      <c r="AJ122" s="88"/>
      <c r="AK122" s="88"/>
      <c r="AL122" s="88"/>
      <c r="AM122" s="88"/>
      <c r="AN122" s="88"/>
      <c r="AO122" s="88"/>
      <c r="AP122" s="88"/>
      <c r="AQ122" s="88"/>
      <c r="AR122" s="88"/>
      <c r="AS122" s="88"/>
      <c r="AT122" s="88"/>
      <c r="AU122" s="88"/>
      <c r="AV122" s="88"/>
      <c r="AW122" s="88"/>
      <c r="AX122" s="88"/>
      <c r="AY122" s="88"/>
      <c r="AZ122" s="88"/>
      <c r="BA122" s="88"/>
      <c r="BB122" s="88"/>
      <c r="BC122" s="88"/>
      <c r="BD122" s="88"/>
      <c r="BE122" s="88"/>
      <c r="BF122" s="88"/>
      <c r="BG122" s="88"/>
      <c r="BH122" s="88"/>
      <c r="BI122" s="88"/>
      <c r="BJ122" s="88"/>
      <c r="BK122" s="88"/>
      <c r="BL122" s="88"/>
      <c r="BM122" s="88"/>
      <c r="BN122" s="88"/>
      <c r="BO122" s="88"/>
      <c r="BP122" s="88"/>
      <c r="BQ122" s="88"/>
      <c r="BR122" s="88"/>
      <c r="BS122" s="88"/>
      <c r="BT122" s="88"/>
      <c r="BU122" s="88"/>
      <c r="BV122" s="143"/>
      <c r="BW122" s="12"/>
    </row>
    <row r="123" spans="16:75" x14ac:dyDescent="0.25">
      <c r="P123" s="10"/>
      <c r="Q123" s="168"/>
      <c r="R123" s="88"/>
      <c r="S123" s="183" t="s">
        <v>129</v>
      </c>
      <c r="T123" s="164">
        <f t="shared" si="36"/>
        <v>15</v>
      </c>
      <c r="U123" s="88" t="str">
        <f ca="1">IF(AB99=1,AC99,"")</f>
        <v/>
      </c>
      <c r="V123" s="88"/>
      <c r="W123" s="88"/>
      <c r="X123" s="88"/>
      <c r="Y123" s="88">
        <v>10</v>
      </c>
      <c r="Z123" s="88" t="str">
        <f ca="1">IF(AB100=1,U124,"")</f>
        <v/>
      </c>
      <c r="AA123" s="88"/>
      <c r="AB123" s="88"/>
      <c r="AC123" s="88"/>
      <c r="AD123" s="88"/>
      <c r="AE123" s="88"/>
      <c r="AF123" s="88"/>
      <c r="AG123" s="88"/>
      <c r="AH123" s="88"/>
      <c r="AI123" s="88"/>
      <c r="AJ123" s="88"/>
      <c r="AK123" s="88"/>
      <c r="AL123" s="88"/>
      <c r="AM123" s="88"/>
      <c r="AN123" s="88"/>
      <c r="AO123" s="88"/>
      <c r="AP123" s="88"/>
      <c r="AQ123" s="88"/>
      <c r="AR123" s="88"/>
      <c r="AS123" s="88"/>
      <c r="AT123" s="88"/>
      <c r="AU123" s="88"/>
      <c r="AV123" s="88"/>
      <c r="AW123" s="88"/>
      <c r="AX123" s="88"/>
      <c r="AY123" s="88"/>
      <c r="AZ123" s="88"/>
      <c r="BA123" s="88"/>
      <c r="BB123" s="88"/>
      <c r="BC123" s="88"/>
      <c r="BD123" s="88"/>
      <c r="BE123" s="88"/>
      <c r="BF123" s="88"/>
      <c r="BG123" s="88"/>
      <c r="BH123" s="88"/>
      <c r="BI123" s="88"/>
      <c r="BJ123" s="88"/>
      <c r="BK123" s="88"/>
      <c r="BL123" s="88"/>
      <c r="BM123" s="88"/>
      <c r="BN123" s="88"/>
      <c r="BO123" s="88"/>
      <c r="BP123" s="88"/>
      <c r="BQ123" s="88"/>
      <c r="BR123" s="88"/>
      <c r="BS123" s="88"/>
      <c r="BT123" s="88"/>
      <c r="BU123" s="88"/>
      <c r="BV123" s="143"/>
      <c r="BW123" s="12"/>
    </row>
    <row r="124" spans="16:75" x14ac:dyDescent="0.25">
      <c r="P124" s="10"/>
      <c r="Q124" s="168"/>
      <c r="R124" s="164"/>
      <c r="S124" s="164"/>
      <c r="T124" s="164">
        <f t="shared" si="36"/>
        <v>16</v>
      </c>
      <c r="U124" s="88" t="str">
        <f ca="1">IF(AB100=1,AC100,"")</f>
        <v/>
      </c>
      <c r="V124" s="88"/>
      <c r="W124" s="88"/>
      <c r="X124" s="88"/>
      <c r="Y124" s="88"/>
      <c r="Z124" s="88"/>
      <c r="AA124" s="88"/>
      <c r="AB124" s="88"/>
      <c r="AC124" s="88"/>
      <c r="AD124" s="88"/>
      <c r="AE124" s="88"/>
      <c r="AF124" s="88"/>
      <c r="AG124" s="88"/>
      <c r="AH124" s="88"/>
      <c r="AI124" s="88"/>
      <c r="AJ124" s="88"/>
      <c r="AK124" s="88"/>
      <c r="AL124" s="88"/>
      <c r="AM124" s="88"/>
      <c r="AN124" s="88"/>
      <c r="AO124" s="88"/>
      <c r="AP124" s="88"/>
      <c r="AQ124" s="88"/>
      <c r="AR124" s="88"/>
      <c r="AS124" s="88"/>
      <c r="AT124" s="88"/>
      <c r="AU124" s="88"/>
      <c r="AV124" s="88"/>
      <c r="AW124" s="88"/>
      <c r="AX124" s="88"/>
      <c r="AY124" s="88"/>
      <c r="AZ124" s="88"/>
      <c r="BA124" s="88"/>
      <c r="BB124" s="88"/>
      <c r="BC124" s="88"/>
      <c r="BD124" s="88"/>
      <c r="BE124" s="88"/>
      <c r="BF124" s="88"/>
      <c r="BG124" s="88"/>
      <c r="BH124" s="88"/>
      <c r="BI124" s="88"/>
      <c r="BJ124" s="88"/>
      <c r="BK124" s="88"/>
      <c r="BL124" s="88"/>
      <c r="BM124" s="88"/>
      <c r="BN124" s="88"/>
      <c r="BO124" s="88"/>
      <c r="BP124" s="88"/>
      <c r="BQ124" s="88"/>
      <c r="BR124" s="88"/>
      <c r="BS124" s="88"/>
      <c r="BT124" s="88"/>
      <c r="BU124" s="88"/>
      <c r="BV124" s="143"/>
      <c r="BW124" s="12"/>
    </row>
    <row r="125" spans="16:75" x14ac:dyDescent="0.25">
      <c r="P125" s="10"/>
      <c r="Q125" s="168"/>
      <c r="R125" s="88"/>
      <c r="S125" s="88"/>
      <c r="T125" s="164" t="s">
        <v>121</v>
      </c>
      <c r="U125" s="88"/>
      <c r="V125" s="88"/>
      <c r="W125" s="88"/>
      <c r="X125" s="88"/>
      <c r="Y125" s="88"/>
      <c r="Z125" s="88"/>
      <c r="AA125" s="88"/>
      <c r="AB125" s="88"/>
      <c r="AC125" s="88"/>
      <c r="AD125" s="88"/>
      <c r="AE125" s="88"/>
      <c r="AF125" s="88"/>
      <c r="AG125" s="88"/>
      <c r="AH125" s="88"/>
      <c r="AI125" s="88"/>
      <c r="AJ125" s="88"/>
      <c r="AK125" s="88"/>
      <c r="AL125" s="88"/>
      <c r="AM125" s="88"/>
      <c r="AN125" s="88"/>
      <c r="AO125" s="88"/>
      <c r="AP125" s="88"/>
      <c r="AQ125" s="88"/>
      <c r="AR125" s="88"/>
      <c r="AS125" s="88"/>
      <c r="AT125" s="88"/>
      <c r="AU125" s="88"/>
      <c r="AV125" s="88"/>
      <c r="AW125" s="88"/>
      <c r="AX125" s="88"/>
      <c r="AY125" s="88"/>
      <c r="AZ125" s="88"/>
      <c r="BA125" s="88"/>
      <c r="BB125" s="88"/>
      <c r="BC125" s="88"/>
      <c r="BD125" s="88"/>
      <c r="BE125" s="88"/>
      <c r="BF125" s="88"/>
      <c r="BG125" s="88"/>
      <c r="BH125" s="88"/>
      <c r="BI125" s="88"/>
      <c r="BJ125" s="88"/>
      <c r="BK125" s="88"/>
      <c r="BL125" s="88"/>
      <c r="BM125" s="88"/>
      <c r="BN125" s="88"/>
      <c r="BO125" s="88"/>
      <c r="BP125" s="88"/>
      <c r="BQ125" s="88"/>
      <c r="BR125" s="88"/>
      <c r="BS125" s="88"/>
      <c r="BT125" s="88"/>
      <c r="BU125" s="88"/>
      <c r="BV125" s="143"/>
      <c r="BW125" s="12"/>
    </row>
    <row r="126" spans="16:75" x14ac:dyDescent="0.25">
      <c r="P126" s="10"/>
      <c r="Q126" s="168"/>
      <c r="R126" s="88"/>
      <c r="S126" s="88"/>
      <c r="T126" s="88"/>
      <c r="U126" s="88"/>
      <c r="V126" s="88"/>
      <c r="W126" s="88"/>
      <c r="X126" s="88"/>
      <c r="Y126" s="88"/>
      <c r="Z126" s="88"/>
      <c r="AA126" s="88"/>
      <c r="AB126" s="88"/>
      <c r="AC126" s="88"/>
      <c r="AD126" s="88"/>
      <c r="AE126" s="88"/>
      <c r="AF126" s="88"/>
      <c r="AG126" s="88"/>
      <c r="AH126" s="88"/>
      <c r="AI126" s="88"/>
      <c r="AJ126" s="88"/>
      <c r="AK126" s="88"/>
      <c r="AL126" s="88"/>
      <c r="AM126" s="88"/>
      <c r="AN126" s="88"/>
      <c r="AO126" s="88"/>
      <c r="AP126" s="88"/>
      <c r="AQ126" s="88"/>
      <c r="AR126" s="88"/>
      <c r="AS126" s="88"/>
      <c r="AT126" s="88"/>
      <c r="AU126" s="88"/>
      <c r="AV126" s="88"/>
      <c r="AW126" s="88"/>
      <c r="AX126" s="88"/>
      <c r="AY126" s="88"/>
      <c r="AZ126" s="88"/>
      <c r="BA126" s="88"/>
      <c r="BB126" s="88"/>
      <c r="BC126" s="88"/>
      <c r="BD126" s="88"/>
      <c r="BE126" s="88"/>
      <c r="BF126" s="88"/>
      <c r="BG126" s="88"/>
      <c r="BH126" s="88"/>
      <c r="BI126" s="88"/>
      <c r="BJ126" s="88"/>
      <c r="BK126" s="88"/>
      <c r="BL126" s="88"/>
      <c r="BM126" s="88"/>
      <c r="BN126" s="88"/>
      <c r="BO126" s="88"/>
      <c r="BP126" s="88"/>
      <c r="BQ126" s="88"/>
      <c r="BR126" s="88"/>
      <c r="BS126" s="88"/>
      <c r="BT126" s="88"/>
      <c r="BU126" s="88"/>
      <c r="BV126" s="143"/>
      <c r="BW126" s="12"/>
    </row>
    <row r="127" spans="16:75" x14ac:dyDescent="0.25">
      <c r="P127" s="10"/>
      <c r="Q127" s="168"/>
      <c r="R127" s="76" t="s">
        <v>130</v>
      </c>
      <c r="S127" s="76"/>
      <c r="T127" s="76"/>
      <c r="U127" s="76"/>
      <c r="V127" s="76"/>
      <c r="W127" s="76"/>
      <c r="X127" s="88"/>
      <c r="Y127" s="88"/>
      <c r="Z127" s="88"/>
      <c r="AA127" s="88"/>
      <c r="AB127" s="88"/>
      <c r="AC127" s="88"/>
      <c r="AD127" s="88"/>
      <c r="AE127" s="88"/>
      <c r="AF127" s="88"/>
      <c r="AG127" s="88"/>
      <c r="AH127" s="88"/>
      <c r="AI127" s="88"/>
      <c r="AJ127" s="88"/>
      <c r="AK127" s="88"/>
      <c r="AL127" s="88"/>
      <c r="AM127" s="88"/>
      <c r="AN127" s="88"/>
      <c r="AO127" s="88"/>
      <c r="AP127" s="88"/>
      <c r="AQ127" s="88"/>
      <c r="AR127" s="88"/>
      <c r="AS127" s="88"/>
      <c r="AT127" s="88"/>
      <c r="AU127" s="88"/>
      <c r="AV127" s="88"/>
      <c r="AW127" s="88"/>
      <c r="AX127" s="88"/>
      <c r="AY127" s="88"/>
      <c r="AZ127" s="88"/>
      <c r="BA127" s="88"/>
      <c r="BB127" s="88"/>
      <c r="BC127" s="88"/>
      <c r="BD127" s="88"/>
      <c r="BE127" s="88"/>
      <c r="BF127" s="88"/>
      <c r="BG127" s="88"/>
      <c r="BH127" s="88"/>
      <c r="BI127" s="88"/>
      <c r="BJ127" s="88"/>
      <c r="BK127" s="88"/>
      <c r="BL127" s="88"/>
      <c r="BM127" s="88"/>
      <c r="BN127" s="88"/>
      <c r="BO127" s="88"/>
      <c r="BP127" s="88"/>
      <c r="BQ127" s="88"/>
      <c r="BR127" s="88"/>
      <c r="BS127" s="88"/>
      <c r="BT127" s="88"/>
      <c r="BU127" s="88"/>
      <c r="BV127" s="143"/>
      <c r="BW127" s="12"/>
    </row>
    <row r="128" spans="16:75" x14ac:dyDescent="0.25">
      <c r="P128" s="10"/>
      <c r="Q128" s="168"/>
      <c r="R128" s="88">
        <f ca="1">MID(CELL("format",SPC!$C$32),2,1)+1</f>
        <v>3</v>
      </c>
      <c r="S128" s="88" t="s">
        <v>188</v>
      </c>
      <c r="T128" s="88"/>
      <c r="U128" s="88"/>
      <c r="V128" s="88"/>
      <c r="W128" s="88"/>
      <c r="X128" s="88"/>
      <c r="Y128" s="88"/>
      <c r="Z128" s="88"/>
      <c r="AA128" s="88"/>
      <c r="AB128" s="88"/>
      <c r="AC128" s="88"/>
      <c r="AD128" s="88"/>
      <c r="AE128" s="88"/>
      <c r="AF128" s="88"/>
      <c r="AG128" s="88"/>
      <c r="AH128" s="88"/>
      <c r="AI128" s="88"/>
      <c r="AJ128" s="88"/>
      <c r="AK128" s="88"/>
      <c r="AL128" s="88"/>
      <c r="AM128" s="88"/>
      <c r="AN128" s="88"/>
      <c r="AO128" s="88"/>
      <c r="AP128" s="88"/>
      <c r="AQ128" s="88"/>
      <c r="AR128" s="88"/>
      <c r="AS128" s="88"/>
      <c r="AT128" s="88"/>
      <c r="AU128" s="88"/>
      <c r="AV128" s="88"/>
      <c r="AW128" s="88"/>
      <c r="AX128" s="88"/>
      <c r="AY128" s="88"/>
      <c r="AZ128" s="88"/>
      <c r="BA128" s="88"/>
      <c r="BB128" s="88"/>
      <c r="BC128" s="88"/>
      <c r="BD128" s="88"/>
      <c r="BE128" s="88"/>
      <c r="BF128" s="88"/>
      <c r="BG128" s="88"/>
      <c r="BH128" s="88"/>
      <c r="BI128" s="88"/>
      <c r="BJ128" s="88"/>
      <c r="BK128" s="88"/>
      <c r="BL128" s="88"/>
      <c r="BM128" s="88"/>
      <c r="BN128" s="88"/>
      <c r="BO128" s="88"/>
      <c r="BP128" s="88"/>
      <c r="BQ128" s="88"/>
      <c r="BR128" s="88"/>
      <c r="BS128" s="88"/>
      <c r="BT128" s="88"/>
      <c r="BU128" s="88"/>
      <c r="BV128" s="143"/>
      <c r="BW128" s="12"/>
    </row>
    <row r="129" spans="16:75" x14ac:dyDescent="0.25">
      <c r="P129" s="10"/>
      <c r="Q129" s="168"/>
      <c r="R129" s="88"/>
      <c r="S129" s="88"/>
      <c r="T129" s="88"/>
      <c r="U129" s="88"/>
      <c r="V129" s="88"/>
      <c r="W129" s="88"/>
      <c r="X129" s="88"/>
      <c r="Y129" s="88"/>
      <c r="Z129" s="88"/>
      <c r="AA129" s="88"/>
      <c r="AB129" s="88"/>
      <c r="AC129" s="88"/>
      <c r="AD129" s="88"/>
      <c r="AE129" s="88"/>
      <c r="AF129" s="88"/>
      <c r="AG129" s="88"/>
      <c r="AH129" s="88"/>
      <c r="AI129" s="88"/>
      <c r="AJ129" s="88"/>
      <c r="AK129" s="88"/>
      <c r="AL129" s="88"/>
      <c r="AM129" s="88"/>
      <c r="AN129" s="88"/>
      <c r="AO129" s="88"/>
      <c r="AP129" s="88"/>
      <c r="AQ129" s="88"/>
      <c r="AR129" s="88"/>
      <c r="AS129" s="88"/>
      <c r="AT129" s="88"/>
      <c r="AU129" s="88"/>
      <c r="AV129" s="88"/>
      <c r="AW129" s="88"/>
      <c r="AX129" s="88"/>
      <c r="AY129" s="88"/>
      <c r="AZ129" s="88"/>
      <c r="BA129" s="88"/>
      <c r="BB129" s="88"/>
      <c r="BC129" s="88"/>
      <c r="BD129" s="88"/>
      <c r="BE129" s="88"/>
      <c r="BF129" s="88"/>
      <c r="BG129" s="88"/>
      <c r="BH129" s="88"/>
      <c r="BI129" s="88"/>
      <c r="BJ129" s="88"/>
      <c r="BK129" s="88"/>
      <c r="BL129" s="88"/>
      <c r="BM129" s="88"/>
      <c r="BN129" s="88"/>
      <c r="BO129" s="88"/>
      <c r="BP129" s="88"/>
      <c r="BQ129" s="88"/>
      <c r="BR129" s="88"/>
      <c r="BS129" s="88"/>
      <c r="BT129" s="88"/>
      <c r="BU129" s="88"/>
      <c r="BV129" s="143"/>
      <c r="BW129" s="12"/>
    </row>
    <row r="130" spans="16:75" x14ac:dyDescent="0.25">
      <c r="P130" s="10"/>
      <c r="Q130" s="168"/>
      <c r="R130" s="88">
        <f ca="1">IF(SPC!K9=3,"N/A",STANDARDIZE(SPC!AH3,SPC!AH8,R131))</f>
        <v>-4.764435625033296</v>
      </c>
      <c r="S130" s="88" t="s">
        <v>191</v>
      </c>
      <c r="T130" s="88"/>
      <c r="U130" s="88"/>
      <c r="V130" s="88"/>
      <c r="W130" s="88"/>
      <c r="X130" s="88"/>
      <c r="Y130" s="88"/>
      <c r="Z130" s="88"/>
      <c r="AA130" s="88"/>
      <c r="AB130" s="88"/>
      <c r="AC130" s="88"/>
      <c r="AD130" s="88"/>
      <c r="AE130" s="88"/>
      <c r="AF130" s="88"/>
      <c r="AG130" s="88"/>
      <c r="AH130" s="88"/>
      <c r="AI130" s="88"/>
      <c r="AJ130" s="88"/>
      <c r="AK130" s="88"/>
      <c r="AL130" s="88"/>
      <c r="AM130" s="88"/>
      <c r="AN130" s="88"/>
      <c r="AO130" s="88"/>
      <c r="AP130" s="88"/>
      <c r="AQ130" s="88"/>
      <c r="AR130" s="88"/>
      <c r="AS130" s="88"/>
      <c r="AT130" s="88"/>
      <c r="AU130" s="88"/>
      <c r="AV130" s="88"/>
      <c r="AW130" s="88"/>
      <c r="AX130" s="88"/>
      <c r="AY130" s="88"/>
      <c r="AZ130" s="88"/>
      <c r="BA130" s="88"/>
      <c r="BB130" s="88"/>
      <c r="BC130" s="88"/>
      <c r="BD130" s="88"/>
      <c r="BE130" s="88"/>
      <c r="BF130" s="88"/>
      <c r="BG130" s="88"/>
      <c r="BH130" s="88"/>
      <c r="BI130" s="88"/>
      <c r="BJ130" s="88"/>
      <c r="BK130" s="88"/>
      <c r="BL130" s="88"/>
      <c r="BM130" s="88"/>
      <c r="BN130" s="88"/>
      <c r="BO130" s="88"/>
      <c r="BP130" s="88"/>
      <c r="BQ130" s="88"/>
      <c r="BR130" s="88"/>
      <c r="BS130" s="88"/>
      <c r="BT130" s="88"/>
      <c r="BU130" s="88"/>
      <c r="BV130" s="143"/>
      <c r="BW130" s="12"/>
    </row>
    <row r="131" spans="16:75" x14ac:dyDescent="0.25">
      <c r="P131" s="10"/>
      <c r="Q131" s="168"/>
      <c r="R131" s="88">
        <f ca="1">ROUND(STDEV(SPC!C37:BA37),R$128)</f>
        <v>6.0000000000000001E-3</v>
      </c>
      <c r="S131" s="88" t="s">
        <v>192</v>
      </c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88"/>
      <c r="AE131" s="88"/>
      <c r="AF131" s="88"/>
      <c r="AG131" s="88"/>
      <c r="AH131" s="88"/>
      <c r="AI131" s="88"/>
      <c r="AJ131" s="88"/>
      <c r="AK131" s="88"/>
      <c r="AL131" s="88"/>
      <c r="AM131" s="88"/>
      <c r="AN131" s="88"/>
      <c r="AO131" s="88"/>
      <c r="AP131" s="88"/>
      <c r="AQ131" s="88"/>
      <c r="AR131" s="88"/>
      <c r="AS131" s="88"/>
      <c r="AT131" s="88"/>
      <c r="AU131" s="88"/>
      <c r="AV131" s="88"/>
      <c r="AW131" s="88"/>
      <c r="AX131" s="88"/>
      <c r="AY131" s="88"/>
      <c r="AZ131" s="88"/>
      <c r="BA131" s="88"/>
      <c r="BB131" s="88"/>
      <c r="BC131" s="88"/>
      <c r="BD131" s="88"/>
      <c r="BE131" s="88"/>
      <c r="BF131" s="88"/>
      <c r="BG131" s="88"/>
      <c r="BH131" s="88"/>
      <c r="BI131" s="88"/>
      <c r="BJ131" s="88"/>
      <c r="BK131" s="88"/>
      <c r="BL131" s="88"/>
      <c r="BM131" s="88"/>
      <c r="BN131" s="88"/>
      <c r="BO131" s="88"/>
      <c r="BP131" s="88"/>
      <c r="BQ131" s="88"/>
      <c r="BR131" s="88"/>
      <c r="BS131" s="88"/>
      <c r="BT131" s="88"/>
      <c r="BU131" s="88"/>
      <c r="BV131" s="143"/>
      <c r="BW131" s="12"/>
    </row>
    <row r="132" spans="16:75" x14ac:dyDescent="0.25">
      <c r="P132" s="10"/>
      <c r="Q132" s="168"/>
      <c r="R132" s="88"/>
      <c r="S132" s="88"/>
      <c r="T132" s="88"/>
      <c r="U132" s="88"/>
      <c r="V132" s="88"/>
      <c r="W132" s="88"/>
      <c r="X132" s="88"/>
      <c r="Y132" s="88"/>
      <c r="Z132" s="88"/>
      <c r="AA132" s="88"/>
      <c r="AB132" s="88"/>
      <c r="AC132" s="88"/>
      <c r="AD132" s="88"/>
      <c r="AE132" s="88"/>
      <c r="AF132" s="88"/>
      <c r="AG132" s="88"/>
      <c r="AH132" s="88"/>
      <c r="AI132" s="88"/>
      <c r="AJ132" s="88"/>
      <c r="AK132" s="88"/>
      <c r="AL132" s="88"/>
      <c r="AM132" s="88"/>
      <c r="AN132" s="88"/>
      <c r="AO132" s="88"/>
      <c r="AP132" s="88"/>
      <c r="AQ132" s="88"/>
      <c r="AR132" s="88"/>
      <c r="AS132" s="88"/>
      <c r="AT132" s="88"/>
      <c r="AU132" s="88"/>
      <c r="AV132" s="88"/>
      <c r="AW132" s="88"/>
      <c r="AX132" s="88"/>
      <c r="AY132" s="88"/>
      <c r="AZ132" s="88"/>
      <c r="BA132" s="88"/>
      <c r="BB132" s="88"/>
      <c r="BC132" s="88"/>
      <c r="BD132" s="88"/>
      <c r="BE132" s="88"/>
      <c r="BF132" s="88"/>
      <c r="BG132" s="88"/>
      <c r="BH132" s="88"/>
      <c r="BI132" s="88"/>
      <c r="BJ132" s="88"/>
      <c r="BK132" s="88"/>
      <c r="BL132" s="88"/>
      <c r="BM132" s="88"/>
      <c r="BN132" s="88"/>
      <c r="BO132" s="88"/>
      <c r="BP132" s="88"/>
      <c r="BQ132" s="88"/>
      <c r="BR132" s="88"/>
      <c r="BS132" s="88"/>
      <c r="BT132" s="88"/>
      <c r="BU132" s="88"/>
      <c r="BV132" s="143"/>
      <c r="BW132" s="12"/>
    </row>
    <row r="133" spans="16:75" x14ac:dyDescent="0.25">
      <c r="P133" s="10"/>
      <c r="Q133" s="168"/>
      <c r="R133" s="88">
        <f ca="1">IF(SPC!K9=2,"N/A",STANDARDIZE(SPC!AH5,SPC!AH8,R131))</f>
        <v>28.568897708300511</v>
      </c>
      <c r="S133" s="88" t="s">
        <v>189</v>
      </c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143"/>
      <c r="BW133" s="12"/>
    </row>
    <row r="134" spans="16:75" x14ac:dyDescent="0.25">
      <c r="P134" s="10"/>
      <c r="Q134" s="16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143"/>
      <c r="BW134" s="12"/>
    </row>
    <row r="135" spans="16:75" x14ac:dyDescent="0.25">
      <c r="P135" s="10"/>
      <c r="Q135" s="168"/>
      <c r="R135" s="88"/>
      <c r="S135" s="88"/>
      <c r="T135" s="88"/>
      <c r="U135" s="88"/>
      <c r="V135" s="88"/>
      <c r="W135" s="88"/>
      <c r="X135" s="88"/>
      <c r="Y135" s="88"/>
      <c r="Z135" s="88"/>
      <c r="AA135" s="88"/>
      <c r="AB135" s="88"/>
      <c r="AC135" s="88"/>
      <c r="AD135" s="88"/>
      <c r="AE135" s="88"/>
      <c r="AF135" s="88"/>
      <c r="AG135" s="88"/>
      <c r="AH135" s="88"/>
      <c r="AI135" s="88"/>
      <c r="AJ135" s="88"/>
      <c r="AK135" s="88"/>
      <c r="AL135" s="88"/>
      <c r="AM135" s="88"/>
      <c r="AN135" s="88"/>
      <c r="AO135" s="88"/>
      <c r="AP135" s="88"/>
      <c r="AQ135" s="88"/>
      <c r="AR135" s="88"/>
      <c r="AS135" s="88"/>
      <c r="AT135" s="88"/>
      <c r="AU135" s="88"/>
      <c r="AV135" s="88"/>
      <c r="AW135" s="88"/>
      <c r="AX135" s="88"/>
      <c r="AY135" s="88"/>
      <c r="AZ135" s="88"/>
      <c r="BA135" s="88"/>
      <c r="BB135" s="88"/>
      <c r="BC135" s="88"/>
      <c r="BD135" s="88"/>
      <c r="BE135" s="88"/>
      <c r="BF135" s="88"/>
      <c r="BG135" s="88"/>
      <c r="BH135" s="88"/>
      <c r="BI135" s="88"/>
      <c r="BJ135" s="88"/>
      <c r="BK135" s="88"/>
      <c r="BL135" s="88"/>
      <c r="BM135" s="88"/>
      <c r="BN135" s="88"/>
      <c r="BO135" s="88"/>
      <c r="BP135" s="88"/>
      <c r="BQ135" s="88"/>
      <c r="BR135" s="88"/>
      <c r="BS135" s="88"/>
      <c r="BT135" s="88"/>
      <c r="BU135" s="88"/>
      <c r="BV135" s="143"/>
      <c r="BW135" s="12"/>
    </row>
    <row r="136" spans="16:75" x14ac:dyDescent="0.25">
      <c r="P136" s="10"/>
      <c r="Q136" s="168"/>
      <c r="R136" s="88"/>
      <c r="S136" s="88"/>
      <c r="T136" s="88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88"/>
      <c r="AF136" s="88"/>
      <c r="AG136" s="88"/>
      <c r="AH136" s="88"/>
      <c r="AI136" s="88"/>
      <c r="AJ136" s="88"/>
      <c r="AK136" s="88"/>
      <c r="AL136" s="88"/>
      <c r="AM136" s="88"/>
      <c r="AN136" s="88"/>
      <c r="AO136" s="88"/>
      <c r="AP136" s="88"/>
      <c r="AQ136" s="88"/>
      <c r="AR136" s="88"/>
      <c r="AS136" s="88"/>
      <c r="AT136" s="88"/>
      <c r="AU136" s="88"/>
      <c r="AV136" s="88"/>
      <c r="AW136" s="88"/>
      <c r="AX136" s="88"/>
      <c r="AY136" s="88"/>
      <c r="AZ136" s="88"/>
      <c r="BA136" s="88"/>
      <c r="BB136" s="88"/>
      <c r="BC136" s="88"/>
      <c r="BD136" s="88"/>
      <c r="BE136" s="88"/>
      <c r="BF136" s="88"/>
      <c r="BG136" s="88"/>
      <c r="BH136" s="88"/>
      <c r="BI136" s="88"/>
      <c r="BJ136" s="88"/>
      <c r="BK136" s="88"/>
      <c r="BL136" s="88"/>
      <c r="BM136" s="88"/>
      <c r="BN136" s="88"/>
      <c r="BO136" s="88"/>
      <c r="BP136" s="88"/>
      <c r="BQ136" s="88"/>
      <c r="BR136" s="88"/>
      <c r="BS136" s="88"/>
      <c r="BT136" s="88"/>
      <c r="BU136" s="88"/>
      <c r="BV136" s="143"/>
      <c r="BW136" s="12"/>
    </row>
    <row r="137" spans="16:75" ht="13.8" thickBot="1" x14ac:dyDescent="0.3">
      <c r="P137" s="10"/>
      <c r="Q137" s="185"/>
      <c r="R137" s="186"/>
      <c r="S137" s="186"/>
      <c r="T137" s="186"/>
      <c r="U137" s="186"/>
      <c r="V137" s="186"/>
      <c r="W137" s="186"/>
      <c r="X137" s="186"/>
      <c r="Y137" s="186"/>
      <c r="Z137" s="186"/>
      <c r="AA137" s="186"/>
      <c r="AB137" s="186"/>
      <c r="AC137" s="186"/>
      <c r="AD137" s="186"/>
      <c r="AE137" s="186"/>
      <c r="AF137" s="186"/>
      <c r="AG137" s="186"/>
      <c r="AH137" s="186"/>
      <c r="AI137" s="186"/>
      <c r="AJ137" s="186"/>
      <c r="AK137" s="186"/>
      <c r="AL137" s="186"/>
      <c r="AM137" s="186"/>
      <c r="AN137" s="186"/>
      <c r="AO137" s="186"/>
      <c r="AP137" s="186"/>
      <c r="AQ137" s="186"/>
      <c r="AR137" s="186"/>
      <c r="AS137" s="186"/>
      <c r="AT137" s="186"/>
      <c r="AU137" s="186"/>
      <c r="AV137" s="186"/>
      <c r="AW137" s="186"/>
      <c r="AX137" s="186"/>
      <c r="AY137" s="186"/>
      <c r="AZ137" s="186"/>
      <c r="BA137" s="186"/>
      <c r="BB137" s="186"/>
      <c r="BC137" s="186"/>
      <c r="BD137" s="186"/>
      <c r="BE137" s="186"/>
      <c r="BF137" s="186"/>
      <c r="BG137" s="186"/>
      <c r="BH137" s="186"/>
      <c r="BI137" s="186"/>
      <c r="BJ137" s="186"/>
      <c r="BK137" s="186"/>
      <c r="BL137" s="186"/>
      <c r="BM137" s="186"/>
      <c r="BN137" s="186"/>
      <c r="BO137" s="186"/>
      <c r="BP137" s="186"/>
      <c r="BQ137" s="186"/>
      <c r="BR137" s="186"/>
      <c r="BS137" s="186"/>
      <c r="BT137" s="186"/>
      <c r="BU137" s="186"/>
      <c r="BV137" s="187"/>
      <c r="BW137" s="12"/>
    </row>
    <row r="138" spans="16:75" x14ac:dyDescent="0.25">
      <c r="P138" s="10"/>
      <c r="Q138" s="10"/>
      <c r="R138" s="12"/>
      <c r="S138" s="12"/>
      <c r="T138" s="12"/>
      <c r="U138" s="12"/>
      <c r="V138" s="12"/>
      <c r="W138" s="12"/>
      <c r="X138" s="12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2"/>
      <c r="AJ138" s="12"/>
      <c r="AK138" s="12"/>
      <c r="AL138" s="12"/>
      <c r="AM138" s="12"/>
      <c r="AN138" s="12"/>
      <c r="AO138" s="12"/>
      <c r="AP138" s="12"/>
      <c r="AQ138" s="12"/>
      <c r="AR138" s="12"/>
      <c r="AS138" s="12"/>
      <c r="AT138" s="12"/>
      <c r="AU138" s="12"/>
      <c r="AV138" s="12"/>
      <c r="AW138" s="12"/>
      <c r="AX138" s="12"/>
      <c r="AY138" s="12"/>
      <c r="AZ138" s="12"/>
      <c r="BA138" s="12"/>
      <c r="BB138" s="12"/>
      <c r="BC138" s="12"/>
      <c r="BD138" s="12"/>
      <c r="BE138" s="12"/>
      <c r="BF138" s="12"/>
      <c r="BG138" s="12"/>
      <c r="BH138" s="12"/>
      <c r="BI138" s="12"/>
      <c r="BJ138" s="12"/>
      <c r="BK138" s="12"/>
      <c r="BL138" s="12"/>
      <c r="BM138" s="12"/>
      <c r="BN138" s="12"/>
      <c r="BO138" s="12"/>
      <c r="BP138" s="12"/>
      <c r="BQ138" s="12"/>
      <c r="BR138" s="12"/>
      <c r="BS138" s="12"/>
      <c r="BT138" s="12"/>
      <c r="BU138" s="12"/>
      <c r="BV138" s="12"/>
      <c r="BW138" s="12"/>
    </row>
    <row r="139" spans="16:75" x14ac:dyDescent="0.25">
      <c r="P139" s="10"/>
      <c r="Q139" s="10"/>
      <c r="R139" s="12"/>
      <c r="S139" s="12"/>
      <c r="T139" s="12"/>
      <c r="U139" s="12"/>
      <c r="V139" s="12"/>
      <c r="W139" s="12"/>
      <c r="X139" s="12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2"/>
      <c r="AJ139" s="12"/>
      <c r="AK139" s="12"/>
      <c r="AL139" s="12"/>
      <c r="AM139" s="12"/>
      <c r="AN139" s="12"/>
      <c r="AO139" s="12"/>
      <c r="AP139" s="12"/>
      <c r="AQ139" s="12"/>
      <c r="AR139" s="12"/>
      <c r="AS139" s="12"/>
      <c r="AT139" s="12"/>
      <c r="AU139" s="12"/>
      <c r="AV139" s="12"/>
      <c r="AW139" s="12"/>
      <c r="AX139" s="12"/>
      <c r="AY139" s="12"/>
      <c r="AZ139" s="12"/>
      <c r="BA139" s="12"/>
      <c r="BB139" s="12"/>
      <c r="BC139" s="12"/>
      <c r="BD139" s="12"/>
      <c r="BE139" s="12"/>
      <c r="BF139" s="12"/>
      <c r="BG139" s="12"/>
      <c r="BH139" s="12"/>
      <c r="BI139" s="12"/>
      <c r="BJ139" s="12"/>
      <c r="BK139" s="12"/>
      <c r="BL139" s="12"/>
      <c r="BM139" s="12"/>
      <c r="BN139" s="12"/>
      <c r="BO139" s="12"/>
      <c r="BP139" s="12"/>
      <c r="BQ139" s="12"/>
      <c r="BR139" s="12"/>
      <c r="BS139" s="12"/>
      <c r="BT139" s="12"/>
      <c r="BU139" s="12"/>
      <c r="BV139" s="12"/>
      <c r="BW139" s="12"/>
    </row>
    <row r="140" spans="16:75" x14ac:dyDescent="0.25">
      <c r="P140" s="10"/>
      <c r="Q140" s="10"/>
      <c r="R140" s="12"/>
      <c r="S140" s="164" t="s">
        <v>171</v>
      </c>
      <c r="T140" s="26" t="e">
        <f>IF(SPC!$N$11="",NA(),SPC!$N$11)</f>
        <v>#N/A</v>
      </c>
      <c r="U140" s="26"/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88"/>
      <c r="AG140" s="88"/>
      <c r="AH140" s="88"/>
      <c r="AI140" s="88"/>
      <c r="AJ140" s="88"/>
      <c r="AK140" s="88"/>
      <c r="AL140" s="88"/>
      <c r="AM140" s="88"/>
      <c r="AN140" s="88"/>
      <c r="AO140" s="88"/>
      <c r="AP140" s="88"/>
      <c r="AQ140" s="88"/>
      <c r="AR140" s="88"/>
      <c r="AS140" s="12"/>
      <c r="AT140" s="12"/>
      <c r="AU140" s="12"/>
      <c r="AV140" s="12"/>
      <c r="AW140" s="12"/>
      <c r="AX140" s="12"/>
      <c r="AY140" s="12"/>
      <c r="AZ140" s="12"/>
      <c r="BA140" s="12"/>
      <c r="BB140" s="12"/>
      <c r="BC140" s="12"/>
      <c r="BD140" s="12"/>
      <c r="BE140" s="12"/>
      <c r="BF140" s="12"/>
      <c r="BG140" s="12"/>
      <c r="BH140" s="12"/>
      <c r="BI140" s="12"/>
      <c r="BJ140" s="12"/>
      <c r="BK140" s="12"/>
      <c r="BL140" s="12"/>
      <c r="BM140" s="12"/>
      <c r="BN140" s="12"/>
      <c r="BO140" s="12"/>
      <c r="BP140" s="12"/>
      <c r="BQ140" s="12"/>
      <c r="BR140" s="12"/>
      <c r="BS140" s="12"/>
      <c r="BT140" s="12"/>
      <c r="BU140" s="12"/>
      <c r="BV140" s="12"/>
      <c r="BW140" s="12"/>
    </row>
    <row r="141" spans="16:75" x14ac:dyDescent="0.25">
      <c r="P141" s="10"/>
      <c r="Q141" s="10"/>
      <c r="R141" s="12"/>
      <c r="S141" s="164" t="s">
        <v>172</v>
      </c>
      <c r="T141" s="26" t="e">
        <f>IF(SPC!$G$11="",NA(),SPC!$G$11)</f>
        <v>#N/A</v>
      </c>
      <c r="U141" s="26"/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88"/>
      <c r="AG141" s="88"/>
      <c r="AH141" s="88"/>
      <c r="AI141" s="88"/>
      <c r="AJ141" s="88"/>
      <c r="AK141" s="88"/>
      <c r="AL141" s="88"/>
      <c r="AM141" s="88"/>
      <c r="AN141" s="88"/>
      <c r="AO141" s="88"/>
      <c r="AP141" s="88"/>
      <c r="AQ141" s="88"/>
      <c r="AR141" s="88"/>
      <c r="AS141" s="12"/>
      <c r="AT141" s="12"/>
      <c r="AU141" s="12"/>
      <c r="AV141" s="12"/>
      <c r="AW141" s="12"/>
      <c r="AX141" s="12"/>
      <c r="AY141" s="12"/>
      <c r="AZ141" s="12"/>
      <c r="BA141" s="12"/>
      <c r="BB141" s="12"/>
      <c r="BC141" s="12"/>
      <c r="BD141" s="12"/>
      <c r="BE141" s="12"/>
      <c r="BF141" s="12"/>
      <c r="BG141" s="12"/>
      <c r="BH141" s="12"/>
      <c r="BI141" s="12"/>
      <c r="BJ141" s="12"/>
      <c r="BK141" s="12"/>
      <c r="BL141" s="12"/>
      <c r="BM141" s="12"/>
      <c r="BN141" s="12"/>
      <c r="BO141" s="12"/>
      <c r="BP141" s="12"/>
      <c r="BQ141" s="12"/>
      <c r="BR141" s="12"/>
      <c r="BS141" s="12"/>
      <c r="BT141" s="12"/>
      <c r="BU141" s="12"/>
      <c r="BV141" s="12"/>
      <c r="BW141" s="12"/>
    </row>
    <row r="142" spans="16:75" x14ac:dyDescent="0.25">
      <c r="Q142" s="10"/>
      <c r="R142" s="12"/>
      <c r="S142" s="164" t="s">
        <v>173</v>
      </c>
      <c r="T142" s="26" t="e">
        <f>IF(SPC!$U$11="",NA(),SPC!$U$11)</f>
        <v>#N/A</v>
      </c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88"/>
      <c r="AG142" s="88"/>
      <c r="AH142" s="88"/>
      <c r="AI142" s="88"/>
      <c r="AJ142" s="88"/>
      <c r="AK142" s="88"/>
      <c r="AL142" s="88"/>
      <c r="AM142" s="88"/>
      <c r="AN142" s="88"/>
      <c r="AO142" s="88"/>
      <c r="AP142" s="88"/>
      <c r="AQ142" s="88"/>
      <c r="AR142" s="88"/>
      <c r="AS142" s="12"/>
      <c r="AT142" s="12"/>
      <c r="AU142" s="12"/>
      <c r="AV142" s="12"/>
      <c r="AW142" s="12"/>
      <c r="AX142" s="12"/>
      <c r="AY142" s="12"/>
      <c r="AZ142" s="12"/>
      <c r="BA142" s="12"/>
      <c r="BB142" s="12"/>
      <c r="BC142" s="12"/>
      <c r="BD142" s="12"/>
      <c r="BE142" s="12"/>
      <c r="BF142" s="12"/>
      <c r="BG142" s="12"/>
      <c r="BH142" s="12"/>
      <c r="BI142" s="12"/>
      <c r="BJ142" s="12"/>
      <c r="BK142" s="12"/>
      <c r="BL142" s="12"/>
      <c r="BM142" s="12"/>
      <c r="BN142" s="12"/>
      <c r="BO142" s="12"/>
      <c r="BP142" s="12"/>
      <c r="BQ142" s="12"/>
      <c r="BR142" s="12"/>
      <c r="BS142" s="12"/>
      <c r="BT142" s="12"/>
      <c r="BU142" s="12"/>
      <c r="BV142" s="12"/>
      <c r="BW142" s="12"/>
    </row>
    <row r="143" spans="16:75" x14ac:dyDescent="0.25">
      <c r="Q143" s="10"/>
      <c r="R143" s="12"/>
      <c r="S143" s="164" t="s">
        <v>174</v>
      </c>
      <c r="T143" s="26" t="e">
        <f>IF(SPC!$N$21="",NA(),SPC!$N$21)</f>
        <v>#N/A</v>
      </c>
      <c r="U143" s="57"/>
      <c r="V143" s="57"/>
      <c r="W143" s="57"/>
      <c r="X143" s="57"/>
      <c r="Y143" s="57"/>
      <c r="Z143" s="57"/>
      <c r="AA143" s="57"/>
      <c r="AB143" s="57"/>
      <c r="AC143" s="57"/>
      <c r="AD143" s="57"/>
      <c r="AE143" s="57"/>
      <c r="AF143" s="88"/>
      <c r="AG143" s="88"/>
      <c r="AH143" s="88"/>
      <c r="AI143" s="88"/>
      <c r="AJ143" s="88"/>
      <c r="AK143" s="88"/>
      <c r="AL143" s="88"/>
      <c r="AM143" s="88"/>
      <c r="AN143" s="88"/>
      <c r="AO143" s="88"/>
      <c r="AP143" s="88"/>
      <c r="AQ143" s="88"/>
      <c r="AR143" s="88"/>
      <c r="AS143" s="12"/>
      <c r="AT143" s="12"/>
      <c r="AU143" s="12"/>
      <c r="AV143" s="12"/>
      <c r="AW143" s="12"/>
      <c r="AX143" s="12"/>
      <c r="AY143" s="12"/>
      <c r="AZ143" s="12"/>
      <c r="BA143" s="12"/>
      <c r="BB143" s="12"/>
      <c r="BC143" s="12"/>
      <c r="BD143" s="12"/>
      <c r="BE143" s="12"/>
      <c r="BF143" s="12"/>
      <c r="BG143" s="12"/>
      <c r="BH143" s="12"/>
      <c r="BI143" s="12"/>
      <c r="BJ143" s="12"/>
      <c r="BK143" s="12"/>
      <c r="BL143" s="12"/>
      <c r="BM143" s="12"/>
      <c r="BN143" s="12"/>
      <c r="BO143" s="12"/>
      <c r="BP143" s="12"/>
      <c r="BQ143" s="12"/>
      <c r="BR143" s="12"/>
      <c r="BS143" s="12"/>
      <c r="BT143" s="12"/>
      <c r="BU143" s="12"/>
      <c r="BV143" s="12"/>
      <c r="BW143" s="12"/>
    </row>
    <row r="144" spans="16:75" x14ac:dyDescent="0.25">
      <c r="Q144" s="10"/>
      <c r="R144" s="12"/>
      <c r="S144" s="164" t="s">
        <v>175</v>
      </c>
      <c r="T144" s="26" t="e">
        <f>IF(SPC!$G$21="",NA(),SPC!$G$21)</f>
        <v>#N/A</v>
      </c>
      <c r="U144" s="56"/>
      <c r="V144" s="56"/>
      <c r="W144" s="56"/>
      <c r="X144" s="56"/>
      <c r="Y144" s="56"/>
      <c r="Z144" s="57"/>
      <c r="AA144" s="57"/>
      <c r="AB144" s="57"/>
      <c r="AC144" s="57"/>
      <c r="AD144" s="57"/>
      <c r="AE144" s="57"/>
      <c r="AF144" s="88"/>
      <c r="AG144" s="88"/>
      <c r="AH144" s="88"/>
      <c r="AI144" s="88"/>
      <c r="AJ144" s="88"/>
      <c r="AK144" s="88"/>
      <c r="AL144" s="88"/>
      <c r="AM144" s="88"/>
      <c r="AN144" s="88"/>
      <c r="AO144" s="88"/>
      <c r="AP144" s="88"/>
      <c r="AQ144" s="88"/>
      <c r="AR144" s="88"/>
      <c r="AS144" s="12"/>
      <c r="AT144" s="12"/>
      <c r="AU144" s="12"/>
      <c r="AV144" s="12"/>
      <c r="AW144" s="12"/>
      <c r="AX144" s="12"/>
      <c r="AY144" s="12"/>
      <c r="AZ144" s="12"/>
      <c r="BA144" s="12"/>
      <c r="BB144" s="12"/>
      <c r="BC144" s="12"/>
      <c r="BD144" s="12"/>
      <c r="BE144" s="12"/>
      <c r="BF144" s="12"/>
      <c r="BG144" s="12"/>
      <c r="BH144" s="12"/>
      <c r="BI144" s="12"/>
      <c r="BJ144" s="12"/>
      <c r="BK144" s="12"/>
      <c r="BL144" s="12"/>
      <c r="BM144" s="12"/>
      <c r="BN144" s="12"/>
      <c r="BO144" s="12"/>
      <c r="BP144" s="12"/>
      <c r="BQ144" s="12"/>
      <c r="BR144" s="12"/>
      <c r="BS144" s="12"/>
      <c r="BT144" s="12"/>
      <c r="BU144" s="12"/>
      <c r="BV144" s="12"/>
      <c r="BW144" s="12"/>
    </row>
    <row r="145" spans="19:98" x14ac:dyDescent="0.25">
      <c r="S145" s="164" t="s">
        <v>176</v>
      </c>
      <c r="T145" s="26" t="e">
        <f>IF(SPC!$U$21="",NA(),SPC!$U$21)</f>
        <v>#N/A</v>
      </c>
      <c r="U145" s="57"/>
      <c r="V145" s="57"/>
      <c r="W145" s="57"/>
      <c r="X145" s="57"/>
      <c r="Y145" s="57"/>
      <c r="Z145" s="57"/>
      <c r="AA145" s="57"/>
      <c r="AB145" s="57"/>
      <c r="AC145" s="57"/>
      <c r="AD145" s="57"/>
      <c r="AE145" s="57"/>
      <c r="AF145" s="88"/>
      <c r="AG145" s="88"/>
      <c r="AH145" s="88"/>
      <c r="AI145" s="88"/>
      <c r="AJ145" s="88"/>
      <c r="AK145" s="88"/>
      <c r="AL145" s="88"/>
      <c r="AM145" s="88"/>
      <c r="AN145" s="88"/>
      <c r="AO145" s="88"/>
      <c r="AP145" s="88"/>
      <c r="AQ145" s="88"/>
      <c r="AR145" s="88"/>
      <c r="AS145" s="12"/>
      <c r="AT145" s="12"/>
      <c r="AU145" s="12"/>
      <c r="AV145" s="12"/>
      <c r="AW145" s="12"/>
      <c r="AX145" s="12"/>
      <c r="AY145" s="12"/>
      <c r="AZ145" s="12"/>
      <c r="BA145" s="12"/>
      <c r="BB145" s="12"/>
      <c r="BC145" s="12"/>
      <c r="BD145" s="12"/>
      <c r="BE145" s="12"/>
      <c r="BF145" s="12"/>
      <c r="BG145" s="12"/>
      <c r="BH145" s="12"/>
      <c r="BI145" s="12"/>
      <c r="BJ145" s="12"/>
      <c r="BK145" s="12"/>
      <c r="BL145" s="12"/>
      <c r="BM145" s="12"/>
      <c r="BN145" s="12"/>
      <c r="BO145" s="12"/>
      <c r="BP145" s="12"/>
      <c r="BQ145" s="12"/>
      <c r="BR145" s="12"/>
      <c r="BS145" s="12"/>
      <c r="BT145" s="12"/>
      <c r="BU145" s="12"/>
      <c r="BV145" s="12"/>
      <c r="BW145" s="12"/>
    </row>
    <row r="146" spans="19:98" ht="13.8" thickBot="1" x14ac:dyDescent="0.3">
      <c r="S146" s="20" t="s">
        <v>170</v>
      </c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88"/>
      <c r="AG146" s="88"/>
      <c r="AH146" s="88"/>
      <c r="AI146" s="88"/>
      <c r="AJ146" s="88"/>
      <c r="AK146" s="88"/>
      <c r="AL146" s="88"/>
      <c r="AM146" s="88"/>
      <c r="AN146" s="88"/>
      <c r="AO146" s="88"/>
      <c r="AP146" s="88"/>
      <c r="AQ146" s="88"/>
      <c r="AR146" s="88"/>
      <c r="AS146" s="12"/>
      <c r="AT146" s="12"/>
      <c r="AU146" s="12"/>
      <c r="AV146" s="12"/>
      <c r="AW146" s="12"/>
      <c r="AX146" s="12"/>
      <c r="AY146" s="12"/>
      <c r="AZ146" s="12"/>
      <c r="BA146" s="12"/>
      <c r="BB146" s="12"/>
      <c r="BC146" s="12"/>
      <c r="BD146" s="12"/>
      <c r="BE146" s="12"/>
      <c r="BF146" s="12"/>
      <c r="BG146" s="12"/>
      <c r="BH146" s="12"/>
      <c r="BI146" s="12"/>
      <c r="BJ146" s="12"/>
      <c r="BK146" s="12"/>
      <c r="BL146" s="12"/>
      <c r="BM146" s="12"/>
      <c r="BN146" s="12"/>
      <c r="BO146" s="12"/>
      <c r="BP146" s="12"/>
      <c r="BQ146" s="12"/>
      <c r="BR146" s="12"/>
      <c r="BS146" s="12"/>
      <c r="BT146" s="12"/>
      <c r="BU146" s="12"/>
      <c r="BV146" s="12"/>
      <c r="BW146" s="12"/>
    </row>
    <row r="147" spans="19:98" x14ac:dyDescent="0.25">
      <c r="S147" s="164" t="s">
        <v>171</v>
      </c>
      <c r="T147" s="209" t="e">
        <f t="shared" ref="T147:AR147" si="37">IF(ISERROR($T$140),NA(),$T$140)</f>
        <v>#N/A</v>
      </c>
      <c r="U147" s="210" t="e">
        <f t="shared" si="37"/>
        <v>#N/A</v>
      </c>
      <c r="V147" s="210" t="e">
        <f t="shared" si="37"/>
        <v>#N/A</v>
      </c>
      <c r="W147" s="210" t="e">
        <f t="shared" si="37"/>
        <v>#N/A</v>
      </c>
      <c r="X147" s="210" t="e">
        <f t="shared" si="37"/>
        <v>#N/A</v>
      </c>
      <c r="Y147" s="210" t="e">
        <f t="shared" si="37"/>
        <v>#N/A</v>
      </c>
      <c r="Z147" s="210" t="e">
        <f t="shared" si="37"/>
        <v>#N/A</v>
      </c>
      <c r="AA147" s="210" t="e">
        <f t="shared" si="37"/>
        <v>#N/A</v>
      </c>
      <c r="AB147" s="210" t="e">
        <f t="shared" si="37"/>
        <v>#N/A</v>
      </c>
      <c r="AC147" s="210" t="e">
        <f t="shared" si="37"/>
        <v>#N/A</v>
      </c>
      <c r="AD147" s="210" t="e">
        <f t="shared" si="37"/>
        <v>#N/A</v>
      </c>
      <c r="AE147" s="210" t="e">
        <f t="shared" si="37"/>
        <v>#N/A</v>
      </c>
      <c r="AF147" s="210" t="e">
        <f t="shared" si="37"/>
        <v>#N/A</v>
      </c>
      <c r="AG147" s="210" t="e">
        <f t="shared" si="37"/>
        <v>#N/A</v>
      </c>
      <c r="AH147" s="210" t="e">
        <f t="shared" si="37"/>
        <v>#N/A</v>
      </c>
      <c r="AI147" s="210" t="e">
        <f t="shared" si="37"/>
        <v>#N/A</v>
      </c>
      <c r="AJ147" s="210" t="e">
        <f t="shared" si="37"/>
        <v>#N/A</v>
      </c>
      <c r="AK147" s="210" t="e">
        <f t="shared" si="37"/>
        <v>#N/A</v>
      </c>
      <c r="AL147" s="210" t="e">
        <f t="shared" si="37"/>
        <v>#N/A</v>
      </c>
      <c r="AM147" s="210" t="e">
        <f t="shared" si="37"/>
        <v>#N/A</v>
      </c>
      <c r="AN147" s="210" t="e">
        <f t="shared" si="37"/>
        <v>#N/A</v>
      </c>
      <c r="AO147" s="210" t="e">
        <f t="shared" si="37"/>
        <v>#N/A</v>
      </c>
      <c r="AP147" s="210" t="e">
        <f t="shared" si="37"/>
        <v>#N/A</v>
      </c>
      <c r="AQ147" s="210" t="e">
        <f t="shared" si="37"/>
        <v>#N/A</v>
      </c>
      <c r="AR147" s="210" t="e">
        <f t="shared" si="37"/>
        <v>#N/A</v>
      </c>
      <c r="AS147" s="138"/>
      <c r="AT147" s="138"/>
      <c r="AU147" s="138"/>
      <c r="AV147" s="138"/>
      <c r="AW147" s="138"/>
      <c r="AX147" s="138"/>
      <c r="AY147" s="138"/>
      <c r="AZ147" s="138"/>
      <c r="BA147" s="138"/>
      <c r="BB147" s="138"/>
      <c r="BC147" s="138"/>
      <c r="BD147" s="138"/>
      <c r="BE147" s="138"/>
      <c r="BF147" s="138"/>
      <c r="BG147" s="138"/>
      <c r="BH147" s="138"/>
      <c r="BI147" s="138"/>
      <c r="BJ147" s="138"/>
      <c r="BK147" s="138"/>
      <c r="BL147" s="138"/>
      <c r="BM147" s="138"/>
      <c r="BN147" s="138"/>
      <c r="BO147" s="138"/>
      <c r="BP147" s="138"/>
      <c r="BQ147" s="138"/>
      <c r="BR147" s="138"/>
      <c r="BS147" s="138"/>
      <c r="BT147" s="138"/>
      <c r="BU147" s="138"/>
      <c r="BV147" s="138"/>
      <c r="BW147" s="138"/>
      <c r="BX147" s="136"/>
      <c r="BY147" s="136"/>
      <c r="BZ147" s="136"/>
      <c r="CA147" s="136"/>
      <c r="CB147" s="136"/>
      <c r="CC147" s="136"/>
      <c r="CD147" s="136"/>
      <c r="CE147" s="136"/>
      <c r="CF147" s="136"/>
      <c r="CG147" s="136"/>
      <c r="CH147" s="136"/>
      <c r="CI147" s="136"/>
      <c r="CJ147" s="136"/>
      <c r="CK147" s="136"/>
      <c r="CL147" s="136"/>
      <c r="CM147" s="136"/>
      <c r="CN147" s="136"/>
      <c r="CO147" s="136"/>
      <c r="CP147" s="136"/>
      <c r="CQ147" s="136"/>
      <c r="CR147" s="136"/>
      <c r="CS147" s="136"/>
      <c r="CT147" s="191"/>
    </row>
    <row r="148" spans="19:98" x14ac:dyDescent="0.25">
      <c r="S148" s="164" t="s">
        <v>172</v>
      </c>
      <c r="T148" s="211" t="e">
        <f t="shared" ref="T148:AR148" si="38">IF(ISERROR($T$141),NA(),$T$141)</f>
        <v>#N/A</v>
      </c>
      <c r="U148" s="26" t="e">
        <f t="shared" si="38"/>
        <v>#N/A</v>
      </c>
      <c r="V148" s="26" t="e">
        <f t="shared" si="38"/>
        <v>#N/A</v>
      </c>
      <c r="W148" s="26" t="e">
        <f t="shared" si="38"/>
        <v>#N/A</v>
      </c>
      <c r="X148" s="26" t="e">
        <f t="shared" si="38"/>
        <v>#N/A</v>
      </c>
      <c r="Y148" s="26" t="e">
        <f t="shared" si="38"/>
        <v>#N/A</v>
      </c>
      <c r="Z148" s="26" t="e">
        <f t="shared" si="38"/>
        <v>#N/A</v>
      </c>
      <c r="AA148" s="26" t="e">
        <f t="shared" si="38"/>
        <v>#N/A</v>
      </c>
      <c r="AB148" s="26" t="e">
        <f t="shared" si="38"/>
        <v>#N/A</v>
      </c>
      <c r="AC148" s="26" t="e">
        <f t="shared" si="38"/>
        <v>#N/A</v>
      </c>
      <c r="AD148" s="26" t="e">
        <f t="shared" si="38"/>
        <v>#N/A</v>
      </c>
      <c r="AE148" s="26" t="e">
        <f t="shared" si="38"/>
        <v>#N/A</v>
      </c>
      <c r="AF148" s="26" t="e">
        <f t="shared" si="38"/>
        <v>#N/A</v>
      </c>
      <c r="AG148" s="26" t="e">
        <f t="shared" si="38"/>
        <v>#N/A</v>
      </c>
      <c r="AH148" s="26" t="e">
        <f t="shared" si="38"/>
        <v>#N/A</v>
      </c>
      <c r="AI148" s="26" t="e">
        <f t="shared" si="38"/>
        <v>#N/A</v>
      </c>
      <c r="AJ148" s="26" t="e">
        <f t="shared" si="38"/>
        <v>#N/A</v>
      </c>
      <c r="AK148" s="26" t="e">
        <f t="shared" si="38"/>
        <v>#N/A</v>
      </c>
      <c r="AL148" s="26" t="e">
        <f t="shared" si="38"/>
        <v>#N/A</v>
      </c>
      <c r="AM148" s="26" t="e">
        <f t="shared" si="38"/>
        <v>#N/A</v>
      </c>
      <c r="AN148" s="26" t="e">
        <f t="shared" si="38"/>
        <v>#N/A</v>
      </c>
      <c r="AO148" s="26" t="e">
        <f t="shared" si="38"/>
        <v>#N/A</v>
      </c>
      <c r="AP148" s="26" t="e">
        <f t="shared" si="38"/>
        <v>#N/A</v>
      </c>
      <c r="AQ148" s="26" t="e">
        <f t="shared" si="38"/>
        <v>#N/A</v>
      </c>
      <c r="AR148" s="26" t="e">
        <f t="shared" si="38"/>
        <v>#N/A</v>
      </c>
      <c r="AS148" s="88"/>
      <c r="AT148" s="88"/>
      <c r="AU148" s="88"/>
      <c r="AV148" s="88"/>
      <c r="AW148" s="88"/>
      <c r="AX148" s="88"/>
      <c r="AY148" s="88"/>
      <c r="AZ148" s="88"/>
      <c r="BA148" s="88"/>
      <c r="BB148" s="88"/>
      <c r="BC148" s="88"/>
      <c r="BD148" s="88"/>
      <c r="BE148" s="88"/>
      <c r="BF148" s="88"/>
      <c r="BG148" s="88"/>
      <c r="BH148" s="88"/>
      <c r="BI148" s="88"/>
      <c r="BJ148" s="88"/>
      <c r="BK148" s="88"/>
      <c r="BL148" s="88"/>
      <c r="BM148" s="88"/>
      <c r="BN148" s="88"/>
      <c r="BO148" s="88"/>
      <c r="BP148" s="88"/>
      <c r="BQ148" s="88"/>
      <c r="BR148" s="88"/>
      <c r="BS148" s="88"/>
      <c r="BT148" s="88"/>
      <c r="BU148" s="88"/>
      <c r="BV148" s="88"/>
      <c r="BW148" s="88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149"/>
    </row>
    <row r="149" spans="19:98" x14ac:dyDescent="0.25">
      <c r="S149" s="164" t="s">
        <v>173</v>
      </c>
      <c r="T149" s="211" t="e">
        <f t="shared" ref="T149:AR149" si="39">IF(ISERROR($T$142),NA(),$T$142)</f>
        <v>#N/A</v>
      </c>
      <c r="U149" s="26" t="e">
        <f t="shared" si="39"/>
        <v>#N/A</v>
      </c>
      <c r="V149" s="26" t="e">
        <f t="shared" si="39"/>
        <v>#N/A</v>
      </c>
      <c r="W149" s="26" t="e">
        <f t="shared" si="39"/>
        <v>#N/A</v>
      </c>
      <c r="X149" s="26" t="e">
        <f t="shared" si="39"/>
        <v>#N/A</v>
      </c>
      <c r="Y149" s="26" t="e">
        <f t="shared" si="39"/>
        <v>#N/A</v>
      </c>
      <c r="Z149" s="26" t="e">
        <f t="shared" si="39"/>
        <v>#N/A</v>
      </c>
      <c r="AA149" s="26" t="e">
        <f t="shared" si="39"/>
        <v>#N/A</v>
      </c>
      <c r="AB149" s="26" t="e">
        <f t="shared" si="39"/>
        <v>#N/A</v>
      </c>
      <c r="AC149" s="26" t="e">
        <f t="shared" si="39"/>
        <v>#N/A</v>
      </c>
      <c r="AD149" s="26" t="e">
        <f t="shared" si="39"/>
        <v>#N/A</v>
      </c>
      <c r="AE149" s="26" t="e">
        <f t="shared" si="39"/>
        <v>#N/A</v>
      </c>
      <c r="AF149" s="26" t="e">
        <f t="shared" si="39"/>
        <v>#N/A</v>
      </c>
      <c r="AG149" s="26" t="e">
        <f t="shared" si="39"/>
        <v>#N/A</v>
      </c>
      <c r="AH149" s="26" t="e">
        <f t="shared" si="39"/>
        <v>#N/A</v>
      </c>
      <c r="AI149" s="26" t="e">
        <f t="shared" si="39"/>
        <v>#N/A</v>
      </c>
      <c r="AJ149" s="26" t="e">
        <f t="shared" si="39"/>
        <v>#N/A</v>
      </c>
      <c r="AK149" s="26" t="e">
        <f t="shared" si="39"/>
        <v>#N/A</v>
      </c>
      <c r="AL149" s="26" t="e">
        <f t="shared" si="39"/>
        <v>#N/A</v>
      </c>
      <c r="AM149" s="26" t="e">
        <f t="shared" si="39"/>
        <v>#N/A</v>
      </c>
      <c r="AN149" s="26" t="e">
        <f t="shared" si="39"/>
        <v>#N/A</v>
      </c>
      <c r="AO149" s="26" t="e">
        <f t="shared" si="39"/>
        <v>#N/A</v>
      </c>
      <c r="AP149" s="26" t="e">
        <f t="shared" si="39"/>
        <v>#N/A</v>
      </c>
      <c r="AQ149" s="26" t="e">
        <f t="shared" si="39"/>
        <v>#N/A</v>
      </c>
      <c r="AR149" s="26" t="e">
        <f t="shared" si="39"/>
        <v>#N/A</v>
      </c>
      <c r="AS149" s="88"/>
      <c r="AT149" s="88"/>
      <c r="AU149" s="88"/>
      <c r="AV149" s="88"/>
      <c r="AW149" s="88"/>
      <c r="AX149" s="88"/>
      <c r="AY149" s="88"/>
      <c r="AZ149" s="88"/>
      <c r="BA149" s="88"/>
      <c r="BB149" s="88"/>
      <c r="BC149" s="88"/>
      <c r="BD149" s="88"/>
      <c r="BE149" s="88"/>
      <c r="BF149" s="88"/>
      <c r="BG149" s="88"/>
      <c r="BH149" s="88"/>
      <c r="BI149" s="88"/>
      <c r="BJ149" s="88"/>
      <c r="BK149" s="88"/>
      <c r="BL149" s="88"/>
      <c r="BM149" s="88"/>
      <c r="BN149" s="88"/>
      <c r="BO149" s="88"/>
      <c r="BP149" s="88"/>
      <c r="BQ149" s="88"/>
      <c r="BR149" s="88"/>
      <c r="BS149" s="88"/>
      <c r="BT149" s="88"/>
      <c r="BU149" s="88"/>
      <c r="BV149" s="88"/>
      <c r="BW149" s="88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149"/>
    </row>
    <row r="150" spans="19:98" x14ac:dyDescent="0.25">
      <c r="S150" s="164" t="s">
        <v>174</v>
      </c>
      <c r="T150" s="211" t="e">
        <f t="shared" ref="T150:AR150" si="40">IF(ISERROR($T$143),NA(),$T$143)</f>
        <v>#N/A</v>
      </c>
      <c r="U150" s="26" t="e">
        <f t="shared" si="40"/>
        <v>#N/A</v>
      </c>
      <c r="V150" s="26" t="e">
        <f t="shared" si="40"/>
        <v>#N/A</v>
      </c>
      <c r="W150" s="26" t="e">
        <f t="shared" si="40"/>
        <v>#N/A</v>
      </c>
      <c r="X150" s="26" t="e">
        <f t="shared" si="40"/>
        <v>#N/A</v>
      </c>
      <c r="Y150" s="26" t="e">
        <f t="shared" si="40"/>
        <v>#N/A</v>
      </c>
      <c r="Z150" s="26" t="e">
        <f t="shared" si="40"/>
        <v>#N/A</v>
      </c>
      <c r="AA150" s="26" t="e">
        <f t="shared" si="40"/>
        <v>#N/A</v>
      </c>
      <c r="AB150" s="26" t="e">
        <f t="shared" si="40"/>
        <v>#N/A</v>
      </c>
      <c r="AC150" s="26" t="e">
        <f t="shared" si="40"/>
        <v>#N/A</v>
      </c>
      <c r="AD150" s="26" t="e">
        <f t="shared" si="40"/>
        <v>#N/A</v>
      </c>
      <c r="AE150" s="26" t="e">
        <f t="shared" si="40"/>
        <v>#N/A</v>
      </c>
      <c r="AF150" s="26" t="e">
        <f t="shared" si="40"/>
        <v>#N/A</v>
      </c>
      <c r="AG150" s="26" t="e">
        <f t="shared" si="40"/>
        <v>#N/A</v>
      </c>
      <c r="AH150" s="26" t="e">
        <f t="shared" si="40"/>
        <v>#N/A</v>
      </c>
      <c r="AI150" s="26" t="e">
        <f t="shared" si="40"/>
        <v>#N/A</v>
      </c>
      <c r="AJ150" s="26" t="e">
        <f t="shared" si="40"/>
        <v>#N/A</v>
      </c>
      <c r="AK150" s="26" t="e">
        <f t="shared" si="40"/>
        <v>#N/A</v>
      </c>
      <c r="AL150" s="26" t="e">
        <f t="shared" si="40"/>
        <v>#N/A</v>
      </c>
      <c r="AM150" s="26" t="e">
        <f t="shared" si="40"/>
        <v>#N/A</v>
      </c>
      <c r="AN150" s="26" t="e">
        <f t="shared" si="40"/>
        <v>#N/A</v>
      </c>
      <c r="AO150" s="26" t="e">
        <f t="shared" si="40"/>
        <v>#N/A</v>
      </c>
      <c r="AP150" s="26" t="e">
        <f t="shared" si="40"/>
        <v>#N/A</v>
      </c>
      <c r="AQ150" s="26" t="e">
        <f t="shared" si="40"/>
        <v>#N/A</v>
      </c>
      <c r="AR150" s="26" t="e">
        <f t="shared" si="40"/>
        <v>#N/A</v>
      </c>
      <c r="AS150" s="88"/>
      <c r="AT150" s="88"/>
      <c r="AU150" s="88"/>
      <c r="AV150" s="88"/>
      <c r="AW150" s="88"/>
      <c r="AX150" s="88"/>
      <c r="AY150" s="88"/>
      <c r="AZ150" s="88"/>
      <c r="BA150" s="88"/>
      <c r="BB150" s="88"/>
      <c r="BC150" s="88"/>
      <c r="BD150" s="88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149"/>
    </row>
    <row r="151" spans="19:98" ht="13.8" thickBot="1" x14ac:dyDescent="0.3">
      <c r="S151" s="164" t="s">
        <v>175</v>
      </c>
      <c r="T151" s="212" t="e">
        <f t="shared" ref="T151:AR151" si="41">IF(ISERROR($T$144),NA(),$T$144)</f>
        <v>#N/A</v>
      </c>
      <c r="U151" s="213" t="e">
        <f t="shared" si="41"/>
        <v>#N/A</v>
      </c>
      <c r="V151" s="213" t="e">
        <f t="shared" si="41"/>
        <v>#N/A</v>
      </c>
      <c r="W151" s="213" t="e">
        <f t="shared" si="41"/>
        <v>#N/A</v>
      </c>
      <c r="X151" s="213" t="e">
        <f t="shared" si="41"/>
        <v>#N/A</v>
      </c>
      <c r="Y151" s="213" t="e">
        <f t="shared" si="41"/>
        <v>#N/A</v>
      </c>
      <c r="Z151" s="213" t="e">
        <f t="shared" si="41"/>
        <v>#N/A</v>
      </c>
      <c r="AA151" s="213" t="e">
        <f t="shared" si="41"/>
        <v>#N/A</v>
      </c>
      <c r="AB151" s="213" t="e">
        <f t="shared" si="41"/>
        <v>#N/A</v>
      </c>
      <c r="AC151" s="213" t="e">
        <f t="shared" si="41"/>
        <v>#N/A</v>
      </c>
      <c r="AD151" s="213" t="e">
        <f t="shared" si="41"/>
        <v>#N/A</v>
      </c>
      <c r="AE151" s="213" t="e">
        <f t="shared" si="41"/>
        <v>#N/A</v>
      </c>
      <c r="AF151" s="213" t="e">
        <f t="shared" si="41"/>
        <v>#N/A</v>
      </c>
      <c r="AG151" s="213" t="e">
        <f t="shared" si="41"/>
        <v>#N/A</v>
      </c>
      <c r="AH151" s="213" t="e">
        <f t="shared" si="41"/>
        <v>#N/A</v>
      </c>
      <c r="AI151" s="213" t="e">
        <f t="shared" si="41"/>
        <v>#N/A</v>
      </c>
      <c r="AJ151" s="213" t="e">
        <f t="shared" si="41"/>
        <v>#N/A</v>
      </c>
      <c r="AK151" s="213" t="e">
        <f t="shared" si="41"/>
        <v>#N/A</v>
      </c>
      <c r="AL151" s="213" t="e">
        <f t="shared" si="41"/>
        <v>#N/A</v>
      </c>
      <c r="AM151" s="213" t="e">
        <f t="shared" si="41"/>
        <v>#N/A</v>
      </c>
      <c r="AN151" s="213" t="e">
        <f t="shared" si="41"/>
        <v>#N/A</v>
      </c>
      <c r="AO151" s="213" t="e">
        <f t="shared" si="41"/>
        <v>#N/A</v>
      </c>
      <c r="AP151" s="213" t="e">
        <f t="shared" si="41"/>
        <v>#N/A</v>
      </c>
      <c r="AQ151" s="213" t="e">
        <f t="shared" si="41"/>
        <v>#N/A</v>
      </c>
      <c r="AR151" s="213" t="e">
        <f t="shared" si="41"/>
        <v>#N/A</v>
      </c>
      <c r="AS151" s="186"/>
      <c r="AT151" s="186"/>
      <c r="AU151" s="186"/>
      <c r="AV151" s="186"/>
      <c r="AW151" s="186"/>
      <c r="AX151" s="186"/>
      <c r="AY151" s="186"/>
      <c r="AZ151" s="186"/>
      <c r="BA151" s="186"/>
      <c r="BB151" s="186"/>
      <c r="BC151" s="186"/>
      <c r="BD151" s="186"/>
      <c r="BE151" s="186"/>
      <c r="BF151" s="186"/>
      <c r="BG151" s="186"/>
      <c r="BH151" s="186"/>
      <c r="BI151" s="186"/>
      <c r="BJ151" s="186"/>
      <c r="BK151" s="186"/>
      <c r="BL151" s="186"/>
      <c r="BM151" s="186"/>
      <c r="BN151" s="186"/>
      <c r="BO151" s="186"/>
      <c r="BP151" s="186"/>
      <c r="BQ151" s="186"/>
      <c r="BR151" s="186"/>
      <c r="BS151" s="186"/>
      <c r="BT151" s="186"/>
      <c r="BU151" s="186"/>
      <c r="BV151" s="186"/>
      <c r="BW151" s="186"/>
      <c r="BX151" s="153"/>
      <c r="BY151" s="153"/>
      <c r="BZ151" s="153"/>
      <c r="CA151" s="153"/>
      <c r="CB151" s="153"/>
      <c r="CC151" s="153"/>
      <c r="CD151" s="153"/>
      <c r="CE151" s="153"/>
      <c r="CF151" s="153"/>
      <c r="CG151" s="153"/>
      <c r="CH151" s="153"/>
      <c r="CI151" s="153"/>
      <c r="CJ151" s="153"/>
      <c r="CK151" s="153"/>
      <c r="CL151" s="153"/>
      <c r="CM151" s="153"/>
      <c r="CN151" s="153"/>
      <c r="CO151" s="153"/>
      <c r="CP151" s="153"/>
      <c r="CQ151" s="153"/>
      <c r="CR151" s="153"/>
      <c r="CS151" s="153"/>
      <c r="CT151" s="154"/>
    </row>
    <row r="152" spans="19:98" x14ac:dyDescent="0.25">
      <c r="S152" s="164" t="s">
        <v>176</v>
      </c>
      <c r="T152" s="26" t="e">
        <f t="shared" ref="T152:AR152" si="42">IF(ISERROR($T$145),NA(),$T$145)</f>
        <v>#N/A</v>
      </c>
      <c r="U152" s="26" t="e">
        <f t="shared" si="42"/>
        <v>#N/A</v>
      </c>
      <c r="V152" s="26" t="e">
        <f t="shared" si="42"/>
        <v>#N/A</v>
      </c>
      <c r="W152" s="26" t="e">
        <f t="shared" si="42"/>
        <v>#N/A</v>
      </c>
      <c r="X152" s="26" t="e">
        <f t="shared" si="42"/>
        <v>#N/A</v>
      </c>
      <c r="Y152" s="26" t="e">
        <f t="shared" si="42"/>
        <v>#N/A</v>
      </c>
      <c r="Z152" s="26" t="e">
        <f t="shared" si="42"/>
        <v>#N/A</v>
      </c>
      <c r="AA152" s="26" t="e">
        <f t="shared" si="42"/>
        <v>#N/A</v>
      </c>
      <c r="AB152" s="26" t="e">
        <f t="shared" si="42"/>
        <v>#N/A</v>
      </c>
      <c r="AC152" s="26" t="e">
        <f t="shared" si="42"/>
        <v>#N/A</v>
      </c>
      <c r="AD152" s="26" t="e">
        <f t="shared" si="42"/>
        <v>#N/A</v>
      </c>
      <c r="AE152" s="26" t="e">
        <f t="shared" si="42"/>
        <v>#N/A</v>
      </c>
      <c r="AF152" s="26" t="e">
        <f t="shared" si="42"/>
        <v>#N/A</v>
      </c>
      <c r="AG152" s="26" t="e">
        <f t="shared" si="42"/>
        <v>#N/A</v>
      </c>
      <c r="AH152" s="26" t="e">
        <f t="shared" si="42"/>
        <v>#N/A</v>
      </c>
      <c r="AI152" s="26" t="e">
        <f t="shared" si="42"/>
        <v>#N/A</v>
      </c>
      <c r="AJ152" s="26" t="e">
        <f t="shared" si="42"/>
        <v>#N/A</v>
      </c>
      <c r="AK152" s="26" t="e">
        <f t="shared" si="42"/>
        <v>#N/A</v>
      </c>
      <c r="AL152" s="26" t="e">
        <f t="shared" si="42"/>
        <v>#N/A</v>
      </c>
      <c r="AM152" s="26" t="e">
        <f t="shared" si="42"/>
        <v>#N/A</v>
      </c>
      <c r="AN152" s="26" t="e">
        <f t="shared" si="42"/>
        <v>#N/A</v>
      </c>
      <c r="AO152" s="26" t="e">
        <f t="shared" si="42"/>
        <v>#N/A</v>
      </c>
      <c r="AP152" s="26" t="e">
        <f t="shared" si="42"/>
        <v>#N/A</v>
      </c>
      <c r="AQ152" s="26" t="e">
        <f t="shared" si="42"/>
        <v>#N/A</v>
      </c>
      <c r="AR152" s="26" t="e">
        <f t="shared" si="42"/>
        <v>#N/A</v>
      </c>
      <c r="AS152" s="12"/>
      <c r="AT152" s="12"/>
      <c r="AU152" s="12"/>
      <c r="AV152" s="12"/>
      <c r="AW152" s="12"/>
      <c r="AX152" s="12"/>
      <c r="AY152" s="12"/>
      <c r="AZ152" s="12"/>
      <c r="BA152" s="12"/>
      <c r="BB152" s="12"/>
      <c r="BC152" s="12"/>
      <c r="BD152" s="12"/>
      <c r="BE152" s="12"/>
      <c r="BF152" s="12"/>
      <c r="BG152" s="12"/>
      <c r="BH152" s="12"/>
      <c r="BI152" s="12"/>
      <c r="BJ152" s="12"/>
      <c r="BK152" s="12"/>
      <c r="BL152" s="12"/>
      <c r="BM152" s="12"/>
      <c r="BN152" s="12"/>
      <c r="BO152" s="12"/>
      <c r="BP152" s="12"/>
      <c r="BQ152" s="12"/>
      <c r="BR152" s="12"/>
      <c r="BS152" s="12"/>
      <c r="BT152" s="12"/>
      <c r="BU152" s="12"/>
      <c r="BV152" s="12"/>
      <c r="BW152" s="12"/>
    </row>
    <row r="153" spans="19:98" x14ac:dyDescent="0.25">
      <c r="S153" s="26"/>
      <c r="T153" s="26">
        <v>1</v>
      </c>
      <c r="U153" s="26">
        <f t="shared" ref="U153:AR153" si="43">T153+1</f>
        <v>2</v>
      </c>
      <c r="V153" s="26">
        <f t="shared" si="43"/>
        <v>3</v>
      </c>
      <c r="W153" s="26">
        <f t="shared" si="43"/>
        <v>4</v>
      </c>
      <c r="X153" s="26">
        <f t="shared" si="43"/>
        <v>5</v>
      </c>
      <c r="Y153" s="26">
        <f t="shared" si="43"/>
        <v>6</v>
      </c>
      <c r="Z153" s="26">
        <f t="shared" si="43"/>
        <v>7</v>
      </c>
      <c r="AA153" s="26">
        <f t="shared" si="43"/>
        <v>8</v>
      </c>
      <c r="AB153" s="26">
        <f t="shared" si="43"/>
        <v>9</v>
      </c>
      <c r="AC153" s="26">
        <f t="shared" si="43"/>
        <v>10</v>
      </c>
      <c r="AD153" s="26">
        <f t="shared" si="43"/>
        <v>11</v>
      </c>
      <c r="AE153" s="26">
        <f t="shared" si="43"/>
        <v>12</v>
      </c>
      <c r="AF153" s="26">
        <f t="shared" si="43"/>
        <v>13</v>
      </c>
      <c r="AG153" s="26">
        <f t="shared" si="43"/>
        <v>14</v>
      </c>
      <c r="AH153" s="26">
        <f t="shared" si="43"/>
        <v>15</v>
      </c>
      <c r="AI153" s="26">
        <f t="shared" si="43"/>
        <v>16</v>
      </c>
      <c r="AJ153" s="26">
        <f t="shared" si="43"/>
        <v>17</v>
      </c>
      <c r="AK153" s="26">
        <f t="shared" si="43"/>
        <v>18</v>
      </c>
      <c r="AL153" s="26">
        <f t="shared" si="43"/>
        <v>19</v>
      </c>
      <c r="AM153" s="26">
        <f t="shared" si="43"/>
        <v>20</v>
      </c>
      <c r="AN153" s="26">
        <f t="shared" si="43"/>
        <v>21</v>
      </c>
      <c r="AO153" s="26">
        <f t="shared" si="43"/>
        <v>22</v>
      </c>
      <c r="AP153" s="26">
        <f t="shared" si="43"/>
        <v>23</v>
      </c>
      <c r="AQ153" s="26">
        <f t="shared" si="43"/>
        <v>24</v>
      </c>
      <c r="AR153" s="26">
        <f t="shared" si="43"/>
        <v>25</v>
      </c>
      <c r="AS153" s="12"/>
      <c r="AT153" s="12"/>
      <c r="AU153" s="12"/>
      <c r="AV153" s="12"/>
      <c r="AW153" s="12"/>
      <c r="AX153" s="12"/>
      <c r="AY153" s="12"/>
      <c r="AZ153" s="12"/>
      <c r="BA153" s="12"/>
      <c r="BB153" s="12"/>
      <c r="BC153" s="12"/>
      <c r="BD153" s="12"/>
      <c r="BE153" s="12"/>
      <c r="BF153" s="12"/>
      <c r="BG153" s="12"/>
      <c r="BH153" s="12"/>
      <c r="BI153" s="12"/>
      <c r="BJ153" s="12"/>
      <c r="BK153" s="12"/>
      <c r="BL153" s="12"/>
      <c r="BM153" s="12"/>
      <c r="BN153" s="12"/>
      <c r="BO153" s="12"/>
      <c r="BP153" s="12"/>
      <c r="BQ153" s="12"/>
      <c r="BR153" s="12"/>
      <c r="BS153" s="12"/>
      <c r="BT153" s="12"/>
      <c r="BU153" s="12"/>
      <c r="BV153" s="12"/>
      <c r="BW153" s="12"/>
    </row>
    <row r="154" spans="19:98" x14ac:dyDescent="0.25">
      <c r="X154" s="12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2"/>
      <c r="AJ154" s="12"/>
      <c r="AK154" s="12"/>
      <c r="AL154" s="12"/>
      <c r="AM154" s="12"/>
      <c r="AN154" s="12"/>
      <c r="AO154" s="12"/>
      <c r="AP154" s="12"/>
      <c r="AQ154" s="12"/>
      <c r="AR154" s="12"/>
      <c r="AS154" s="12"/>
      <c r="AT154" s="12"/>
      <c r="AU154" s="12"/>
      <c r="AV154" s="12"/>
      <c r="AW154" s="12"/>
      <c r="AX154" s="12"/>
      <c r="AY154" s="12"/>
      <c r="AZ154" s="12"/>
      <c r="BA154" s="12"/>
      <c r="BB154" s="12"/>
      <c r="BC154" s="12"/>
      <c r="BD154" s="12"/>
      <c r="BE154" s="12"/>
      <c r="BF154" s="12"/>
      <c r="BG154" s="12"/>
      <c r="BH154" s="12"/>
      <c r="BI154" s="12"/>
      <c r="BJ154" s="12"/>
      <c r="BK154" s="12"/>
      <c r="BL154" s="12"/>
      <c r="BM154" s="12"/>
      <c r="BN154" s="12"/>
      <c r="BO154" s="12"/>
      <c r="BP154" s="12"/>
      <c r="BQ154" s="12"/>
      <c r="BR154" s="12"/>
      <c r="BS154" s="12"/>
      <c r="BT154" s="12"/>
      <c r="BU154" s="12"/>
      <c r="BV154" s="12"/>
      <c r="BW154" s="12"/>
    </row>
    <row r="155" spans="19:98" x14ac:dyDescent="0.25">
      <c r="X155" s="12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2"/>
      <c r="AJ155" s="12"/>
      <c r="AK155" s="12"/>
      <c r="AL155" s="12"/>
      <c r="AM155" s="12"/>
      <c r="AN155" s="12"/>
      <c r="AO155" s="12"/>
      <c r="AP155" s="12"/>
      <c r="AQ155" s="12"/>
      <c r="AR155" s="12"/>
      <c r="AS155" s="12"/>
      <c r="AT155" s="12"/>
      <c r="AU155" s="12"/>
      <c r="AV155" s="12"/>
      <c r="AW155" s="12"/>
      <c r="AX155" s="12"/>
      <c r="AY155" s="12"/>
      <c r="AZ155" s="12"/>
      <c r="BA155" s="12"/>
      <c r="BB155" s="12"/>
      <c r="BC155" s="12"/>
      <c r="BD155" s="12"/>
      <c r="BE155" s="12"/>
      <c r="BF155" s="12"/>
      <c r="BG155" s="12"/>
      <c r="BH155" s="12"/>
      <c r="BI155" s="12"/>
      <c r="BJ155" s="12"/>
      <c r="BK155" s="12"/>
      <c r="BL155" s="12"/>
      <c r="BM155" s="12"/>
      <c r="BN155" s="12"/>
      <c r="BO155" s="12"/>
      <c r="BP155" s="12"/>
      <c r="BQ155" s="12"/>
      <c r="BR155" s="12"/>
      <c r="BS155" s="12"/>
      <c r="BT155" s="12"/>
      <c r="BU155" s="12"/>
      <c r="BV155" s="12"/>
      <c r="BW155" s="12"/>
    </row>
    <row r="156" spans="19:98" x14ac:dyDescent="0.25">
      <c r="X156" s="12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2"/>
      <c r="AJ156" s="12"/>
      <c r="AK156" s="12"/>
      <c r="AL156" s="12"/>
      <c r="AM156" s="12"/>
      <c r="AN156" s="12"/>
      <c r="AO156" s="12"/>
      <c r="AP156" s="12"/>
      <c r="AQ156" s="12"/>
      <c r="AR156" s="12"/>
      <c r="AS156" s="12"/>
      <c r="AT156" s="12"/>
      <c r="AU156" s="12"/>
      <c r="AV156" s="12"/>
      <c r="AW156" s="12"/>
      <c r="AX156" s="12"/>
      <c r="AY156" s="12"/>
      <c r="AZ156" s="12"/>
      <c r="BA156" s="12"/>
      <c r="BB156" s="12"/>
      <c r="BC156" s="12"/>
      <c r="BD156" s="12"/>
      <c r="BE156" s="12"/>
      <c r="BF156" s="12"/>
      <c r="BG156" s="12"/>
      <c r="BH156" s="12"/>
      <c r="BI156" s="12"/>
      <c r="BJ156" s="12"/>
      <c r="BK156" s="12"/>
      <c r="BL156" s="12"/>
      <c r="BM156" s="12"/>
      <c r="BN156" s="12"/>
      <c r="BO156" s="12"/>
      <c r="BP156" s="12"/>
      <c r="BQ156" s="12"/>
      <c r="BR156" s="12"/>
      <c r="BS156" s="12"/>
      <c r="BT156" s="12"/>
      <c r="BU156" s="12"/>
      <c r="BV156" s="12"/>
      <c r="BW156" s="12"/>
    </row>
    <row r="157" spans="19:98" x14ac:dyDescent="0.25">
      <c r="X157" s="12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2"/>
      <c r="AJ157" s="12"/>
      <c r="AK157" s="12"/>
      <c r="AL157" s="12"/>
      <c r="AM157" s="12"/>
      <c r="AN157" s="12"/>
      <c r="AO157" s="12"/>
      <c r="AP157" s="12"/>
      <c r="AQ157" s="12"/>
      <c r="AR157" s="12"/>
      <c r="AS157" s="12"/>
      <c r="AT157" s="12"/>
      <c r="AU157" s="12"/>
      <c r="AV157" s="12"/>
      <c r="AW157" s="12"/>
      <c r="AX157" s="12"/>
      <c r="AY157" s="12"/>
      <c r="AZ157" s="12"/>
      <c r="BA157" s="12"/>
      <c r="BB157" s="12"/>
      <c r="BC157" s="12"/>
      <c r="BD157" s="12"/>
      <c r="BE157" s="12"/>
      <c r="BF157" s="12"/>
      <c r="BG157" s="12"/>
      <c r="BH157" s="12"/>
      <c r="BI157" s="12"/>
      <c r="BJ157" s="12"/>
      <c r="BK157" s="12"/>
      <c r="BL157" s="12"/>
      <c r="BM157" s="12"/>
      <c r="BN157" s="12"/>
      <c r="BO157" s="12"/>
      <c r="BP157" s="12"/>
      <c r="BQ157" s="12"/>
      <c r="BR157" s="12"/>
      <c r="BS157" s="12"/>
      <c r="BT157" s="12"/>
      <c r="BU157" s="12"/>
      <c r="BV157" s="12"/>
      <c r="BW157" s="12"/>
    </row>
    <row r="158" spans="19:98" x14ac:dyDescent="0.25">
      <c r="X158" s="12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2"/>
      <c r="AJ158" s="12"/>
      <c r="AK158" s="12"/>
      <c r="AL158" s="12"/>
      <c r="AM158" s="12"/>
      <c r="AN158" s="12"/>
      <c r="AO158" s="12"/>
      <c r="AP158" s="12"/>
      <c r="AQ158" s="12"/>
      <c r="AR158" s="12"/>
      <c r="AS158" s="12"/>
      <c r="AT158" s="12"/>
      <c r="AU158" s="12"/>
      <c r="AV158" s="12"/>
      <c r="AW158" s="12"/>
      <c r="AX158" s="12"/>
      <c r="AY158" s="12"/>
      <c r="AZ158" s="12"/>
      <c r="BA158" s="12"/>
      <c r="BB158" s="12"/>
      <c r="BC158" s="12"/>
      <c r="BD158" s="12"/>
      <c r="BE158" s="12"/>
      <c r="BF158" s="12"/>
      <c r="BG158" s="12"/>
      <c r="BH158" s="12"/>
      <c r="BI158" s="12"/>
      <c r="BJ158" s="12"/>
      <c r="BK158" s="12"/>
      <c r="BL158" s="12"/>
      <c r="BM158" s="12"/>
      <c r="BN158" s="12"/>
      <c r="BO158" s="12"/>
      <c r="BP158" s="12"/>
      <c r="BQ158" s="12"/>
      <c r="BR158" s="12"/>
      <c r="BS158" s="12"/>
      <c r="BT158" s="12"/>
      <c r="BU158" s="12"/>
      <c r="BV158" s="12"/>
      <c r="BW158" s="12"/>
    </row>
    <row r="159" spans="19:98" x14ac:dyDescent="0.25">
      <c r="X159" s="12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2"/>
      <c r="AJ159" s="12"/>
      <c r="AK159" s="12"/>
      <c r="AL159" s="12"/>
      <c r="AM159" s="12"/>
      <c r="AN159" s="12"/>
      <c r="AO159" s="12"/>
      <c r="AP159" s="12"/>
      <c r="AQ159" s="12"/>
      <c r="AR159" s="12"/>
      <c r="AS159" s="12"/>
      <c r="AT159" s="12"/>
      <c r="AU159" s="12"/>
      <c r="AV159" s="12"/>
      <c r="AW159" s="12"/>
      <c r="AX159" s="12"/>
      <c r="AY159" s="12"/>
      <c r="AZ159" s="12"/>
      <c r="BA159" s="12"/>
      <c r="BB159" s="12"/>
      <c r="BC159" s="12"/>
      <c r="BD159" s="12"/>
      <c r="BE159" s="12"/>
      <c r="BF159" s="12"/>
      <c r="BG159" s="12"/>
      <c r="BH159" s="12"/>
      <c r="BI159" s="12"/>
      <c r="BJ159" s="12"/>
      <c r="BK159" s="12"/>
      <c r="BL159" s="12"/>
      <c r="BM159" s="12"/>
      <c r="BN159" s="12"/>
      <c r="BO159" s="12"/>
      <c r="BP159" s="12"/>
      <c r="BQ159" s="12"/>
      <c r="BR159" s="12"/>
      <c r="BS159" s="12"/>
      <c r="BT159" s="12"/>
      <c r="BU159" s="12"/>
      <c r="BV159" s="12"/>
      <c r="BW159" s="12"/>
    </row>
    <row r="160" spans="19:98" x14ac:dyDescent="0.25">
      <c r="X160" s="12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2"/>
      <c r="AJ160" s="12"/>
      <c r="AK160" s="12"/>
      <c r="AL160" s="12"/>
      <c r="AM160" s="12"/>
      <c r="AN160" s="12"/>
      <c r="AO160" s="12"/>
      <c r="AP160" s="12"/>
      <c r="AQ160" s="12"/>
      <c r="AR160" s="12"/>
      <c r="AS160" s="12"/>
      <c r="AT160" s="12"/>
      <c r="AU160" s="12"/>
      <c r="AV160" s="12"/>
      <c r="AW160" s="12"/>
      <c r="AX160" s="12"/>
      <c r="AY160" s="12"/>
      <c r="AZ160" s="12"/>
      <c r="BA160" s="12"/>
      <c r="BB160" s="12"/>
      <c r="BC160" s="12"/>
      <c r="BD160" s="12"/>
      <c r="BE160" s="12"/>
      <c r="BF160" s="12"/>
      <c r="BG160" s="12"/>
      <c r="BH160" s="12"/>
      <c r="BI160" s="12"/>
      <c r="BJ160" s="12"/>
      <c r="BK160" s="12"/>
      <c r="BL160" s="12"/>
      <c r="BM160" s="12"/>
      <c r="BN160" s="12"/>
      <c r="BO160" s="12"/>
      <c r="BP160" s="12"/>
      <c r="BQ160" s="12"/>
      <c r="BR160" s="12"/>
      <c r="BS160" s="12"/>
      <c r="BT160" s="12"/>
      <c r="BU160" s="12"/>
      <c r="BV160" s="12"/>
      <c r="BW160" s="12"/>
    </row>
    <row r="161" spans="1:75" x14ac:dyDescent="0.25">
      <c r="X161" s="12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2"/>
      <c r="AJ161" s="12"/>
      <c r="AK161" s="12"/>
      <c r="AL161" s="12"/>
      <c r="AM161" s="12"/>
      <c r="AN161" s="12"/>
      <c r="AO161" s="12"/>
      <c r="AP161" s="12"/>
      <c r="AQ161" s="12"/>
      <c r="AR161" s="12"/>
      <c r="AS161" s="12"/>
      <c r="AT161" s="12"/>
      <c r="AU161" s="12"/>
      <c r="AV161" s="12"/>
      <c r="AW161" s="12"/>
      <c r="AX161" s="12"/>
      <c r="AY161" s="12"/>
      <c r="AZ161" s="12"/>
      <c r="BA161" s="12"/>
      <c r="BB161" s="12"/>
      <c r="BC161" s="12"/>
      <c r="BD161" s="12"/>
      <c r="BE161" s="12"/>
      <c r="BF161" s="12"/>
      <c r="BG161" s="12"/>
      <c r="BH161" s="12"/>
      <c r="BI161" s="12"/>
      <c r="BJ161" s="12"/>
      <c r="BK161" s="12"/>
      <c r="BL161" s="12"/>
      <c r="BM161" s="12"/>
      <c r="BN161" s="12"/>
      <c r="BO161" s="12"/>
      <c r="BP161" s="12"/>
      <c r="BQ161" s="12"/>
      <c r="BR161" s="12"/>
      <c r="BS161" s="12"/>
      <c r="BT161" s="12"/>
      <c r="BU161" s="12"/>
      <c r="BV161" s="12"/>
      <c r="BW161" s="12"/>
    </row>
    <row r="162" spans="1:75" x14ac:dyDescent="0.25">
      <c r="X162" s="12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2"/>
      <c r="AJ162" s="12"/>
      <c r="AK162" s="12"/>
      <c r="AL162" s="12"/>
      <c r="AM162" s="12"/>
      <c r="AN162" s="12"/>
      <c r="AO162" s="12"/>
      <c r="AP162" s="12"/>
      <c r="AQ162" s="12"/>
      <c r="AR162" s="12"/>
      <c r="AS162" s="12"/>
      <c r="AT162" s="12"/>
      <c r="AU162" s="12"/>
      <c r="AV162" s="12"/>
      <c r="AW162" s="12"/>
      <c r="AX162" s="12"/>
      <c r="AY162" s="12"/>
      <c r="AZ162" s="12"/>
      <c r="BA162" s="12"/>
      <c r="BB162" s="12"/>
      <c r="BC162" s="12"/>
      <c r="BD162" s="12"/>
      <c r="BE162" s="12"/>
      <c r="BF162" s="12"/>
      <c r="BG162" s="12"/>
      <c r="BH162" s="12"/>
      <c r="BI162" s="12"/>
      <c r="BJ162" s="12"/>
      <c r="BK162" s="12"/>
      <c r="BL162" s="12"/>
      <c r="BM162" s="12"/>
      <c r="BN162" s="12"/>
      <c r="BO162" s="12"/>
      <c r="BP162" s="12"/>
      <c r="BQ162" s="12"/>
      <c r="BR162" s="12"/>
      <c r="BS162" s="12"/>
      <c r="BT162" s="12"/>
      <c r="BU162" s="12"/>
      <c r="BV162" s="12"/>
      <c r="BW162" s="12"/>
    </row>
    <row r="163" spans="1:75" x14ac:dyDescent="0.25">
      <c r="X163" s="12"/>
      <c r="Y163" s="12"/>
    </row>
    <row r="164" spans="1:75" x14ac:dyDescent="0.25">
      <c r="X164" s="12"/>
      <c r="Y164" s="12"/>
    </row>
    <row r="165" spans="1:75" x14ac:dyDescent="0.25">
      <c r="X165" s="12"/>
      <c r="Y165" s="12"/>
    </row>
    <row r="166" spans="1:75" x14ac:dyDescent="0.25">
      <c r="X166" s="12"/>
      <c r="Y166" s="12"/>
    </row>
    <row r="167" spans="1:75" ht="13.8" thickBot="1" x14ac:dyDescent="0.3">
      <c r="X167" s="12"/>
      <c r="Y167" s="12"/>
    </row>
    <row r="168" spans="1:75" x14ac:dyDescent="0.25">
      <c r="A168" s="133"/>
      <c r="B168" s="134"/>
      <c r="C168" s="135"/>
      <c r="D168" s="135"/>
      <c r="E168" s="135"/>
      <c r="F168" s="135"/>
      <c r="G168" s="135"/>
      <c r="H168" s="135"/>
      <c r="I168" s="135"/>
      <c r="J168" s="135"/>
      <c r="K168" s="135"/>
      <c r="L168" s="136"/>
      <c r="M168" s="136"/>
      <c r="N168" s="136"/>
      <c r="O168" s="136"/>
      <c r="P168" s="137"/>
      <c r="Q168" s="137"/>
      <c r="R168" s="138"/>
      <c r="S168" s="138"/>
      <c r="T168" s="138"/>
      <c r="U168" s="138"/>
      <c r="V168" s="138"/>
      <c r="W168" s="139"/>
      <c r="X168" s="12"/>
      <c r="Y168" s="12"/>
    </row>
    <row r="169" spans="1:75" x14ac:dyDescent="0.25">
      <c r="A169" s="140"/>
      <c r="B169" s="141"/>
      <c r="C169" s="142"/>
      <c r="D169" s="142"/>
      <c r="E169" s="142"/>
      <c r="F169" s="142"/>
      <c r="G169" s="142"/>
      <c r="H169" s="142"/>
      <c r="I169" s="142"/>
      <c r="J169" s="142"/>
      <c r="K169" s="142"/>
      <c r="L169" s="5"/>
      <c r="M169" s="5"/>
      <c r="N169" s="5"/>
      <c r="O169" s="5"/>
      <c r="P169" s="20"/>
      <c r="Q169" s="20"/>
      <c r="R169" s="88"/>
      <c r="S169" s="88"/>
      <c r="T169" s="88"/>
      <c r="U169" s="88"/>
      <c r="V169" s="88"/>
      <c r="W169" s="143"/>
      <c r="X169" s="12"/>
      <c r="Y169" s="12"/>
    </row>
    <row r="170" spans="1:75" x14ac:dyDescent="0.25">
      <c r="A170" s="144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88"/>
      <c r="N170" s="88"/>
      <c r="O170" s="88"/>
      <c r="P170" s="88"/>
      <c r="Q170" s="88"/>
      <c r="R170" s="88"/>
      <c r="S170" s="88"/>
      <c r="T170" s="88"/>
      <c r="U170" s="88"/>
      <c r="V170" s="88"/>
      <c r="W170" s="143"/>
      <c r="X170" s="12"/>
      <c r="Y170" s="12"/>
    </row>
    <row r="171" spans="1:75" x14ac:dyDescent="0.25">
      <c r="A171" s="144"/>
      <c r="B171" s="88"/>
      <c r="C171" s="76" t="s">
        <v>20</v>
      </c>
      <c r="D171" s="88"/>
      <c r="E171" s="88"/>
      <c r="F171" s="88"/>
      <c r="G171" s="88"/>
      <c r="H171" s="88"/>
      <c r="I171" s="88"/>
      <c r="J171" s="88"/>
      <c r="K171" s="88"/>
      <c r="L171" s="88"/>
      <c r="M171" s="88"/>
      <c r="N171" s="88" t="str">
        <f ca="1">IF(SPC!P5="","",IF(SPC!U47&gt;0,"FAILED",IF(SPC!W47&gt;0,"FAILED",IF(SPC!U47=0,"Process output without usual defects",IF(SPC!W47=0,"Process output without usual defects")))))</f>
        <v>Process output without usual defects</v>
      </c>
      <c r="O171" s="88"/>
      <c r="P171" s="88" t="s">
        <v>159</v>
      </c>
      <c r="Q171" s="88"/>
      <c r="R171" s="88"/>
      <c r="S171" s="145">
        <f ca="1">SPC!U47</f>
        <v>0</v>
      </c>
      <c r="T171" s="88" t="s">
        <v>161</v>
      </c>
      <c r="U171" s="88"/>
      <c r="V171" s="88"/>
      <c r="W171" s="143"/>
      <c r="X171" s="12"/>
      <c r="Y171" s="12"/>
    </row>
    <row r="172" spans="1:75" x14ac:dyDescent="0.25">
      <c r="A172" s="144"/>
      <c r="B172" s="88"/>
      <c r="C172" s="76" t="s">
        <v>21</v>
      </c>
      <c r="D172" s="88"/>
      <c r="E172" s="88"/>
      <c r="F172" s="88"/>
      <c r="G172" s="88"/>
      <c r="H172" s="88"/>
      <c r="I172" s="88"/>
      <c r="J172" s="88"/>
      <c r="K172" s="88"/>
      <c r="L172" s="88" t="s">
        <v>35</v>
      </c>
      <c r="M172" s="88"/>
      <c r="N172" s="146"/>
      <c r="O172" s="88"/>
      <c r="P172" s="88" t="s">
        <v>160</v>
      </c>
      <c r="Q172" s="88"/>
      <c r="R172" s="88"/>
      <c r="S172" s="88"/>
      <c r="T172" s="145">
        <f ca="1">SPC!W47</f>
        <v>0</v>
      </c>
      <c r="U172" s="88" t="s">
        <v>161</v>
      </c>
      <c r="V172" s="88"/>
      <c r="W172" s="143"/>
      <c r="X172" s="12"/>
      <c r="Y172" s="12"/>
    </row>
    <row r="173" spans="1:75" x14ac:dyDescent="0.25">
      <c r="A173" s="144"/>
      <c r="B173" s="88"/>
      <c r="C173" s="76" t="s">
        <v>22</v>
      </c>
      <c r="D173" s="88"/>
      <c r="E173" s="88"/>
      <c r="F173" s="88"/>
      <c r="G173" s="88"/>
      <c r="H173" s="88"/>
      <c r="I173" s="88"/>
      <c r="J173" s="88"/>
      <c r="K173" s="88"/>
      <c r="L173" s="88">
        <f ca="1">IF(SPC!U47&gt;0%,1,0)</f>
        <v>0</v>
      </c>
      <c r="M173" s="88">
        <f ca="1">IF(AND(L173=1,L174=0),1,0)</f>
        <v>0</v>
      </c>
      <c r="N173" s="88" t="str">
        <f ca="1">IF(M173=1,CONCATENATE(P171,S171*100,T171),"")</f>
        <v/>
      </c>
      <c r="O173" s="88"/>
      <c r="P173" s="88"/>
      <c r="Q173" s="88"/>
      <c r="R173" s="88"/>
      <c r="S173" s="88"/>
      <c r="T173" s="88"/>
      <c r="U173" s="88" t="s">
        <v>162</v>
      </c>
      <c r="V173" s="88"/>
      <c r="W173" s="143"/>
      <c r="X173" s="12"/>
      <c r="Y173" s="12"/>
    </row>
    <row r="174" spans="1:75" x14ac:dyDescent="0.25">
      <c r="A174" s="144"/>
      <c r="B174" s="88"/>
      <c r="C174" s="147">
        <v>1000</v>
      </c>
      <c r="D174" s="88"/>
      <c r="E174" s="88"/>
      <c r="F174" s="88"/>
      <c r="G174" s="88"/>
      <c r="H174" s="88"/>
      <c r="I174" s="88"/>
      <c r="J174" s="88"/>
      <c r="K174" s="88"/>
      <c r="L174" s="88">
        <f ca="1">IF(SPC!W47&gt;0%,1,0)</f>
        <v>0</v>
      </c>
      <c r="M174" s="88">
        <f ca="1">IF(AND(L173=0,L174=1),1,0)</f>
        <v>0</v>
      </c>
      <c r="N174" s="88" t="str">
        <f ca="1">IF(M174=1,CONCATENATE(P172,T172*100,U172),"")</f>
        <v/>
      </c>
      <c r="O174" s="88"/>
      <c r="P174" s="88"/>
      <c r="Q174" s="88"/>
      <c r="R174" s="88"/>
      <c r="S174" s="88"/>
      <c r="T174" s="88"/>
      <c r="U174" s="88"/>
      <c r="V174" s="88"/>
      <c r="W174" s="143"/>
      <c r="X174" s="12"/>
      <c r="Y174" s="12"/>
    </row>
    <row r="175" spans="1:75" x14ac:dyDescent="0.25">
      <c r="A175" s="144"/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88">
        <f ca="1">IF(AND(L173=1,L174=1),1,0)</f>
        <v>0</v>
      </c>
      <c r="N175" s="88" t="str">
        <f ca="1">CONCATENATE(P171,S171*100,T171,U173,P172,T172*100,U172)</f>
        <v xml:space="preserve">Process produced 0% defects. and Process could generate 0% defects. </v>
      </c>
      <c r="O175" s="88"/>
      <c r="P175" s="88"/>
      <c r="Q175" s="88"/>
      <c r="R175" s="88"/>
      <c r="S175" s="88"/>
      <c r="T175" s="88"/>
      <c r="U175" s="88"/>
      <c r="V175" s="88"/>
      <c r="W175" s="143"/>
      <c r="X175" s="12"/>
      <c r="Y175" s="12"/>
    </row>
    <row r="176" spans="1:75" x14ac:dyDescent="0.25">
      <c r="A176" s="144"/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88"/>
      <c r="N176" s="88"/>
      <c r="O176" s="88"/>
      <c r="P176" s="88"/>
      <c r="Q176" s="88"/>
      <c r="R176" s="88"/>
      <c r="S176" s="88"/>
      <c r="T176" s="88"/>
      <c r="U176" s="88"/>
      <c r="V176" s="88"/>
      <c r="W176" s="143"/>
      <c r="X176" s="12"/>
      <c r="Y176" s="12"/>
    </row>
    <row r="177" spans="1:25" x14ac:dyDescent="0.25">
      <c r="A177" s="144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88"/>
      <c r="N177" s="88"/>
      <c r="O177" s="88"/>
      <c r="P177" s="88"/>
      <c r="Q177" s="88"/>
      <c r="R177" s="88"/>
      <c r="S177" s="88"/>
      <c r="T177" s="88"/>
      <c r="U177" s="88"/>
      <c r="V177" s="88"/>
      <c r="W177" s="143"/>
      <c r="X177" s="12"/>
      <c r="Y177" s="12"/>
    </row>
    <row r="178" spans="1:25" x14ac:dyDescent="0.25">
      <c r="A178" s="144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88"/>
      <c r="N178" s="88"/>
      <c r="O178" s="88"/>
      <c r="P178" s="88"/>
      <c r="Q178" s="88"/>
      <c r="R178" s="88"/>
      <c r="S178" s="88"/>
      <c r="T178" s="88"/>
      <c r="U178" s="88"/>
      <c r="V178" s="88"/>
      <c r="W178" s="143"/>
      <c r="X178" s="12"/>
      <c r="Y178" s="12"/>
    </row>
    <row r="179" spans="1:25" x14ac:dyDescent="0.25">
      <c r="A179" s="144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88"/>
      <c r="N179" s="88"/>
      <c r="O179" s="88"/>
      <c r="P179" s="88"/>
      <c r="Q179" s="88"/>
      <c r="R179" s="88"/>
      <c r="S179" s="88"/>
      <c r="T179" s="88"/>
      <c r="U179" s="88"/>
      <c r="V179" s="88"/>
      <c r="W179" s="143"/>
      <c r="X179" s="12"/>
      <c r="Y179" s="12"/>
    </row>
    <row r="180" spans="1:25" x14ac:dyDescent="0.25">
      <c r="A180" s="383" t="s">
        <v>7</v>
      </c>
      <c r="B180" s="384"/>
      <c r="C180" s="384"/>
      <c r="D180" s="89">
        <f ca="1">ROUND(1/(10^(E180)),E180)</f>
        <v>1E-3</v>
      </c>
      <c r="E180" s="90">
        <f ca="1">MID(CELL("format",SPC!$C$32),2,1)+1</f>
        <v>3</v>
      </c>
      <c r="F180" s="104"/>
      <c r="G180" s="91" t="s">
        <v>6</v>
      </c>
      <c r="H180" s="104"/>
      <c r="I180" s="104"/>
      <c r="J180" s="88"/>
      <c r="K180" s="88"/>
      <c r="L180" s="88"/>
      <c r="M180" s="88"/>
      <c r="N180" s="88"/>
      <c r="O180" s="88"/>
      <c r="P180" s="88"/>
      <c r="Q180" s="88"/>
      <c r="R180" s="88"/>
      <c r="S180" s="88"/>
      <c r="T180" s="88"/>
      <c r="U180" s="88"/>
      <c r="V180" s="88"/>
      <c r="W180" s="143"/>
      <c r="X180" s="12"/>
      <c r="Y180" s="12"/>
    </row>
    <row r="181" spans="1:25" x14ac:dyDescent="0.25">
      <c r="A181" s="383" t="s">
        <v>8</v>
      </c>
      <c r="B181" s="384"/>
      <c r="C181" s="384"/>
      <c r="D181" s="92">
        <f>COUNT(SPC!$C37:$BA37)</f>
        <v>51</v>
      </c>
      <c r="E181" s="93"/>
      <c r="F181" s="104"/>
      <c r="G181" s="94">
        <f>STDEV(SPC!C37:BA37)</f>
        <v>5.789012960461087E-3</v>
      </c>
      <c r="H181" s="104"/>
      <c r="I181" s="104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143"/>
      <c r="X181" s="12"/>
      <c r="Y181" s="12"/>
    </row>
    <row r="182" spans="1:25" x14ac:dyDescent="0.25">
      <c r="A182" s="383" t="s">
        <v>9</v>
      </c>
      <c r="B182" s="384"/>
      <c r="C182" s="384"/>
      <c r="D182" s="92">
        <f ca="1">ROUND(AVERAGE(SPC!$C37:$BA37),E180)</f>
        <v>17.228999999999999</v>
      </c>
      <c r="E182" s="93"/>
      <c r="F182" s="104"/>
      <c r="G182" s="104"/>
      <c r="H182" s="104"/>
      <c r="I182" s="104"/>
      <c r="J182" s="88"/>
      <c r="K182" s="88"/>
      <c r="L182" s="88"/>
      <c r="M182" s="88"/>
      <c r="N182" s="88"/>
      <c r="O182" s="88"/>
      <c r="P182" s="88"/>
      <c r="Q182" s="88"/>
      <c r="R182" s="88"/>
      <c r="S182" s="88"/>
      <c r="T182" s="88"/>
      <c r="U182" s="88"/>
      <c r="V182" s="88"/>
      <c r="W182" s="143"/>
      <c r="X182" s="98"/>
      <c r="Y182" s="12"/>
    </row>
    <row r="183" spans="1:25" x14ac:dyDescent="0.25">
      <c r="A183" s="383" t="s">
        <v>10</v>
      </c>
      <c r="B183" s="384"/>
      <c r="C183" s="384"/>
      <c r="D183" s="92">
        <f>MIN(SPC!$C37:$BA37)</f>
        <v>17.222663910821439</v>
      </c>
      <c r="E183" s="93"/>
      <c r="F183" s="104"/>
      <c r="G183" s="104"/>
      <c r="H183" s="104"/>
      <c r="I183" s="104"/>
      <c r="J183" s="88"/>
      <c r="K183" s="88"/>
      <c r="L183" s="88"/>
      <c r="M183" s="88"/>
      <c r="N183" s="88"/>
      <c r="O183" s="88"/>
      <c r="P183" s="88"/>
      <c r="Q183" s="88"/>
      <c r="R183" s="88"/>
      <c r="S183" s="88"/>
      <c r="T183" s="88"/>
      <c r="U183" s="88"/>
      <c r="V183" s="88"/>
      <c r="W183" s="143"/>
      <c r="X183" s="12"/>
      <c r="Y183" s="12"/>
    </row>
    <row r="184" spans="1:25" x14ac:dyDescent="0.25">
      <c r="A184" s="383" t="s">
        <v>11</v>
      </c>
      <c r="B184" s="384"/>
      <c r="C184" s="384"/>
      <c r="D184" s="92">
        <f>MAX(SPC!$C37:$BA37)</f>
        <v>17.236359515325198</v>
      </c>
      <c r="E184" s="93"/>
      <c r="F184" s="104"/>
      <c r="G184" s="104"/>
      <c r="H184" s="104"/>
      <c r="I184" s="104"/>
      <c r="J184" s="88"/>
      <c r="K184" s="88"/>
      <c r="L184" s="88"/>
      <c r="M184" s="88"/>
      <c r="N184" s="88"/>
      <c r="O184" s="88"/>
      <c r="P184" s="88"/>
      <c r="Q184" s="88"/>
      <c r="R184" s="88"/>
      <c r="S184" s="88"/>
      <c r="T184" s="88"/>
      <c r="U184" s="88"/>
      <c r="V184" s="88"/>
      <c r="W184" s="143"/>
      <c r="X184" s="12"/>
      <c r="Y184" s="12"/>
    </row>
    <row r="185" spans="1:25" x14ac:dyDescent="0.25">
      <c r="A185" s="383" t="s">
        <v>12</v>
      </c>
      <c r="B185" s="384"/>
      <c r="C185" s="384"/>
      <c r="D185" s="92">
        <f ca="1">ROUND(MAX($D$184,SPC!$AH$5)-MIN($D$183,SPC!$AH$3),E180)</f>
        <v>0.2</v>
      </c>
      <c r="E185" s="93"/>
      <c r="F185" s="104"/>
      <c r="G185" s="104"/>
      <c r="H185" s="104"/>
      <c r="I185" s="104"/>
      <c r="J185" s="88"/>
      <c r="K185" s="88"/>
      <c r="L185" s="88"/>
      <c r="M185" s="88"/>
      <c r="N185" s="88"/>
      <c r="O185" s="88"/>
      <c r="P185" s="88"/>
      <c r="Q185" s="88"/>
      <c r="R185" s="88"/>
      <c r="S185" s="88"/>
      <c r="T185" s="88"/>
      <c r="U185" s="88"/>
      <c r="V185" s="88"/>
      <c r="W185" s="143"/>
      <c r="X185" s="12"/>
      <c r="Y185" s="12"/>
    </row>
    <row r="186" spans="1:25" x14ac:dyDescent="0.25">
      <c r="A186" s="385" t="s">
        <v>13</v>
      </c>
      <c r="B186" s="386"/>
      <c r="C186" s="386"/>
      <c r="D186" s="93">
        <f>C174</f>
        <v>1000</v>
      </c>
      <c r="E186" s="93"/>
      <c r="F186" s="104"/>
      <c r="G186" s="104"/>
      <c r="H186" s="104"/>
      <c r="I186" s="104"/>
      <c r="J186" s="88"/>
      <c r="K186" s="88"/>
      <c r="L186" s="88"/>
      <c r="M186" s="88"/>
      <c r="N186" s="88"/>
      <c r="O186" s="88"/>
      <c r="P186" s="88"/>
      <c r="Q186" s="88"/>
      <c r="R186" s="88"/>
      <c r="S186" s="88"/>
      <c r="T186" s="88"/>
      <c r="U186" s="88"/>
      <c r="V186" s="88"/>
      <c r="W186" s="143"/>
      <c r="X186" s="12"/>
      <c r="Y186" s="12"/>
    </row>
    <row r="187" spans="1:25" x14ac:dyDescent="0.25">
      <c r="A187" s="385" t="s">
        <v>14</v>
      </c>
      <c r="B187" s="386"/>
      <c r="C187" s="386"/>
      <c r="D187" s="93">
        <f ca="1">ROUND((MAX(D$184,SPC!AH$5)-D$189)/D$188+1,)</f>
        <v>203</v>
      </c>
      <c r="E187" s="93"/>
      <c r="F187" s="104"/>
      <c r="G187" s="104"/>
      <c r="H187" s="104"/>
      <c r="I187" s="104"/>
      <c r="J187" s="88"/>
      <c r="K187" s="88"/>
      <c r="L187" s="88"/>
      <c r="M187" s="88"/>
      <c r="N187" s="88"/>
      <c r="O187" s="88"/>
      <c r="P187" s="88"/>
      <c r="Q187" s="88"/>
      <c r="R187" s="88"/>
      <c r="S187" s="88"/>
      <c r="T187" s="88"/>
      <c r="U187" s="88"/>
      <c r="V187" s="88"/>
      <c r="W187" s="143"/>
      <c r="X187" s="12"/>
      <c r="Y187" s="12"/>
    </row>
    <row r="188" spans="1:25" x14ac:dyDescent="0.25">
      <c r="A188" s="385" t="s">
        <v>15</v>
      </c>
      <c r="B188" s="386"/>
      <c r="C188" s="386"/>
      <c r="D188" s="90">
        <f ca="1">MAX(D$180,ROUND((D$185)/D186,E$180))</f>
        <v>1E-3</v>
      </c>
      <c r="E188" s="93"/>
      <c r="F188" s="104"/>
      <c r="G188" s="104"/>
      <c r="H188" s="104"/>
      <c r="I188" s="104"/>
      <c r="J188" s="88"/>
      <c r="K188" s="88"/>
      <c r="L188" s="88"/>
      <c r="M188" s="88"/>
      <c r="N188" s="88"/>
      <c r="O188" s="88"/>
      <c r="P188" s="88"/>
      <c r="Q188" s="88"/>
      <c r="R188" s="88"/>
      <c r="S188" s="88"/>
      <c r="T188" s="88"/>
      <c r="U188" s="88"/>
      <c r="V188" s="88"/>
      <c r="W188" s="143"/>
      <c r="X188" s="12"/>
      <c r="Y188" s="12"/>
    </row>
    <row r="189" spans="1:25" x14ac:dyDescent="0.25">
      <c r="A189" s="385" t="s">
        <v>16</v>
      </c>
      <c r="B189" s="386"/>
      <c r="C189" s="386"/>
      <c r="D189" s="92">
        <f ca="1">MIN(D183,SPC!AH3)-$D$188-$D$180/2</f>
        <v>17.198499999999999</v>
      </c>
      <c r="E189" s="93"/>
      <c r="F189" s="104"/>
      <c r="G189" s="104"/>
      <c r="H189" s="104"/>
      <c r="I189" s="104"/>
      <c r="J189" s="88"/>
      <c r="K189" s="88"/>
      <c r="L189" s="88"/>
      <c r="M189" s="88"/>
      <c r="N189" s="88"/>
      <c r="O189" s="88"/>
      <c r="P189" s="88"/>
      <c r="Q189" s="88"/>
      <c r="R189" s="88"/>
      <c r="S189" s="88"/>
      <c r="T189" s="88"/>
      <c r="U189" s="88"/>
      <c r="V189" s="88"/>
      <c r="W189" s="143"/>
      <c r="X189" s="12"/>
      <c r="Y189" s="12"/>
    </row>
    <row r="190" spans="1:25" x14ac:dyDescent="0.25">
      <c r="A190" s="144"/>
      <c r="B190" s="88"/>
      <c r="C190" s="104" t="s">
        <v>65</v>
      </c>
      <c r="D190" s="104" t="s">
        <v>17</v>
      </c>
      <c r="E190" s="104" t="s">
        <v>18</v>
      </c>
      <c r="F190" s="104" t="s">
        <v>120</v>
      </c>
      <c r="G190" s="104" t="s">
        <v>19</v>
      </c>
      <c r="H190" s="104"/>
      <c r="I190" s="95"/>
      <c r="J190" s="88"/>
      <c r="K190" s="88"/>
      <c r="L190" s="88"/>
      <c r="M190" s="88"/>
      <c r="N190" s="88"/>
      <c r="O190" s="88"/>
      <c r="P190" s="88"/>
      <c r="Q190" s="88"/>
      <c r="R190" s="88"/>
      <c r="S190" s="88"/>
      <c r="T190" s="88"/>
      <c r="U190" s="88"/>
      <c r="V190" s="88"/>
      <c r="W190" s="143"/>
      <c r="X190" s="12"/>
      <c r="Y190" s="12"/>
    </row>
    <row r="191" spans="1:25" x14ac:dyDescent="0.25">
      <c r="A191" s="144"/>
      <c r="B191" s="148"/>
      <c r="C191" s="93">
        <v>0</v>
      </c>
      <c r="D191" s="197"/>
      <c r="E191" s="197">
        <f ca="1">D189</f>
        <v>17.198499999999999</v>
      </c>
      <c r="F191" s="93"/>
      <c r="G191" s="93">
        <v>0</v>
      </c>
      <c r="H191" s="93">
        <f t="shared" ref="H191:H222" ca="1" si="44">IF(G$181&lt;&gt;0,NORMDIST(D$189+C191*D$188-D$188/2,D$182,G$181,FALSE),D191)</f>
        <v>4.0874446060556996E-5</v>
      </c>
      <c r="I191" s="96"/>
      <c r="J191" s="88"/>
      <c r="K191" s="88"/>
      <c r="L191" s="88"/>
      <c r="M191" s="88"/>
      <c r="N191" s="88"/>
      <c r="O191" s="88"/>
      <c r="P191" s="88"/>
      <c r="Q191" s="88"/>
      <c r="R191" s="88"/>
      <c r="S191" s="88"/>
      <c r="T191" s="88"/>
      <c r="U191" s="88"/>
      <c r="V191" s="88"/>
      <c r="W191" s="143"/>
      <c r="X191" s="12"/>
      <c r="Y191" s="12"/>
    </row>
    <row r="192" spans="1:25" x14ac:dyDescent="0.25">
      <c r="A192" s="144"/>
      <c r="B192" s="148"/>
      <c r="C192" s="93">
        <f t="shared" ref="C192:C223" si="45">C191+1</f>
        <v>1</v>
      </c>
      <c r="D192" s="197">
        <f t="shared" ref="D192:D223" ca="1" si="46">E191</f>
        <v>17.198499999999999</v>
      </c>
      <c r="E192" s="197">
        <f t="shared" ref="E192:E223" ca="1" si="47">D192+$D$188</f>
        <v>17.1995</v>
      </c>
      <c r="F192" s="93" t="str">
        <f t="shared" ref="F192:F223" ca="1" si="48">FIXED(D192,$E$180)&amp;" to "&amp;FIXED(E192,$E$180)</f>
        <v>17.199 to 17.200</v>
      </c>
      <c r="G192" s="97">
        <f ca="1">COUNTIF(SPC!$C$37:$BA$37,"&lt;="&amp;E192)-COUNTIF(SPC!$C$37:$BA$37,"&lt;="&amp;D192)</f>
        <v>0</v>
      </c>
      <c r="H192" s="93">
        <f t="shared" ca="1" si="44"/>
        <v>1.0155582022650148E-4</v>
      </c>
      <c r="I192" s="96"/>
      <c r="J192" s="88"/>
      <c r="K192" s="88"/>
      <c r="L192" s="88"/>
      <c r="M192" s="88"/>
      <c r="N192" s="88"/>
      <c r="O192" s="88"/>
      <c r="P192" s="88"/>
      <c r="Q192" s="88"/>
      <c r="R192" s="88"/>
      <c r="S192" s="88"/>
      <c r="T192" s="88"/>
      <c r="U192" s="88"/>
      <c r="V192" s="88"/>
      <c r="W192" s="143"/>
      <c r="X192" s="12"/>
      <c r="Y192" s="12"/>
    </row>
    <row r="193" spans="1:25" x14ac:dyDescent="0.25">
      <c r="A193" s="144"/>
      <c r="B193" s="148"/>
      <c r="C193" s="93">
        <f t="shared" si="45"/>
        <v>2</v>
      </c>
      <c r="D193" s="197">
        <f t="shared" ca="1" si="46"/>
        <v>17.1995</v>
      </c>
      <c r="E193" s="197">
        <f t="shared" ca="1" si="47"/>
        <v>17.200500000000002</v>
      </c>
      <c r="F193" s="93" t="str">
        <f t="shared" ca="1" si="48"/>
        <v>17.200 to 17.201</v>
      </c>
      <c r="G193" s="97">
        <f ca="1">COUNTIF(SPC!$C$37:$BA$37,"&lt;="&amp;E193)-COUNTIF(SPC!$C$37:$BA$37,"&lt;="&amp;D193)</f>
        <v>0</v>
      </c>
      <c r="H193" s="93">
        <f t="shared" ca="1" si="44"/>
        <v>2.4490555922913399E-4</v>
      </c>
      <c r="I193" s="96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143"/>
      <c r="X193" s="12"/>
      <c r="Y193" s="12"/>
    </row>
    <row r="194" spans="1:25" x14ac:dyDescent="0.25">
      <c r="A194" s="144"/>
      <c r="B194" s="148"/>
      <c r="C194" s="93">
        <f t="shared" si="45"/>
        <v>3</v>
      </c>
      <c r="D194" s="197">
        <f t="shared" ca="1" si="46"/>
        <v>17.200500000000002</v>
      </c>
      <c r="E194" s="197">
        <f t="shared" ca="1" si="47"/>
        <v>17.201500000000003</v>
      </c>
      <c r="F194" s="93" t="str">
        <f t="shared" ca="1" si="48"/>
        <v>17.201 to 17.202</v>
      </c>
      <c r="G194" s="97">
        <f ca="1">COUNTIF(SPC!$C$37:$BA$37,"&lt;="&amp;E194)-COUNTIF(SPC!$C$37:$BA$37,"&lt;="&amp;D194)</f>
        <v>0</v>
      </c>
      <c r="H194" s="93">
        <f t="shared" ca="1" si="44"/>
        <v>5.7323586703861978E-4</v>
      </c>
      <c r="I194" s="96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143"/>
      <c r="X194" s="12"/>
      <c r="Y194" s="12"/>
    </row>
    <row r="195" spans="1:25" x14ac:dyDescent="0.25">
      <c r="A195" s="144"/>
      <c r="B195" s="148"/>
      <c r="C195" s="93">
        <f t="shared" si="45"/>
        <v>4</v>
      </c>
      <c r="D195" s="197">
        <f t="shared" ca="1" si="46"/>
        <v>17.201500000000003</v>
      </c>
      <c r="E195" s="197">
        <f t="shared" ca="1" si="47"/>
        <v>17.202500000000004</v>
      </c>
      <c r="F195" s="93" t="str">
        <f t="shared" ca="1" si="48"/>
        <v>17.202 to 17.203</v>
      </c>
      <c r="G195" s="97">
        <f ca="1">COUNTIF(SPC!$C$37:$BA$37,"&lt;="&amp;E195)-COUNTIF(SPC!$C$37:$BA$37,"&lt;="&amp;D195)</f>
        <v>0</v>
      </c>
      <c r="H195" s="93">
        <f t="shared" ca="1" si="44"/>
        <v>1.3022937492690122E-3</v>
      </c>
      <c r="I195" s="96"/>
      <c r="J195" s="88"/>
      <c r="K195" s="88"/>
      <c r="L195" s="88"/>
      <c r="M195" s="88"/>
      <c r="N195" s="88"/>
      <c r="O195" s="88"/>
      <c r="P195" s="88"/>
      <c r="Q195" s="88"/>
      <c r="R195" s="88"/>
      <c r="S195" s="88"/>
      <c r="T195" s="88"/>
      <c r="U195" s="88"/>
      <c r="V195" s="88"/>
      <c r="W195" s="143"/>
      <c r="X195" s="12"/>
      <c r="Y195" s="12"/>
    </row>
    <row r="196" spans="1:25" x14ac:dyDescent="0.25">
      <c r="A196" s="144"/>
      <c r="B196" s="148"/>
      <c r="C196" s="93">
        <f t="shared" si="45"/>
        <v>5</v>
      </c>
      <c r="D196" s="197">
        <f t="shared" ca="1" si="46"/>
        <v>17.202500000000004</v>
      </c>
      <c r="E196" s="197">
        <f t="shared" ca="1" si="47"/>
        <v>17.203500000000005</v>
      </c>
      <c r="F196" s="93" t="str">
        <f t="shared" ca="1" si="48"/>
        <v>17.203 to 17.204</v>
      </c>
      <c r="G196" s="97">
        <f ca="1">COUNTIF(SPC!$C$37:$BA$37,"&lt;="&amp;E196)-COUNTIF(SPC!$C$37:$BA$37,"&lt;="&amp;D196)</f>
        <v>0</v>
      </c>
      <c r="H196" s="93">
        <f t="shared" ca="1" si="44"/>
        <v>2.8716099087034031E-3</v>
      </c>
      <c r="I196" s="96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143"/>
      <c r="X196" s="12"/>
      <c r="Y196" s="12"/>
    </row>
    <row r="197" spans="1:25" x14ac:dyDescent="0.25">
      <c r="A197" s="144"/>
      <c r="B197" s="148"/>
      <c r="C197" s="93">
        <f t="shared" si="45"/>
        <v>6</v>
      </c>
      <c r="D197" s="197">
        <f t="shared" ca="1" si="46"/>
        <v>17.203500000000005</v>
      </c>
      <c r="E197" s="197">
        <f t="shared" ca="1" si="47"/>
        <v>17.204500000000007</v>
      </c>
      <c r="F197" s="93" t="str">
        <f t="shared" ca="1" si="48"/>
        <v>17.204 to 17.205</v>
      </c>
      <c r="G197" s="97">
        <f ca="1">COUNTIF(SPC!$C$37:$BA$37,"&lt;="&amp;E197)-COUNTIF(SPC!$C$37:$BA$37,"&lt;="&amp;D197)</f>
        <v>0</v>
      </c>
      <c r="H197" s="93">
        <f t="shared" ca="1" si="44"/>
        <v>6.1458621891807364E-3</v>
      </c>
      <c r="I197" s="96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143"/>
      <c r="X197" s="12"/>
      <c r="Y197" s="12"/>
    </row>
    <row r="198" spans="1:25" x14ac:dyDescent="0.25">
      <c r="A198" s="144"/>
      <c r="B198" s="148"/>
      <c r="C198" s="93">
        <f t="shared" si="45"/>
        <v>7</v>
      </c>
      <c r="D198" s="197">
        <f t="shared" ca="1" si="46"/>
        <v>17.204500000000007</v>
      </c>
      <c r="E198" s="197">
        <f t="shared" ca="1" si="47"/>
        <v>17.205500000000008</v>
      </c>
      <c r="F198" s="93" t="str">
        <f t="shared" ca="1" si="48"/>
        <v>17.205 to 17.206</v>
      </c>
      <c r="G198" s="97">
        <f ca="1">COUNTIF(SPC!$C$37:$BA$37,"&lt;="&amp;E198)-COUNTIF(SPC!$C$37:$BA$37,"&lt;="&amp;D198)</f>
        <v>0</v>
      </c>
      <c r="H198" s="93">
        <f t="shared" ca="1" si="44"/>
        <v>1.2766771323421728E-2</v>
      </c>
      <c r="I198" s="96"/>
      <c r="J198" s="88"/>
      <c r="K198" s="88"/>
      <c r="L198" s="88"/>
      <c r="M198" s="88"/>
      <c r="N198" s="88"/>
      <c r="O198" s="88"/>
      <c r="P198" s="88"/>
      <c r="Q198" s="88"/>
      <c r="R198" s="88"/>
      <c r="S198" s="88"/>
      <c r="T198" s="88"/>
      <c r="U198" s="88"/>
      <c r="V198" s="88"/>
      <c r="W198" s="143"/>
      <c r="X198" s="12"/>
      <c r="Y198" s="12"/>
    </row>
    <row r="199" spans="1:25" x14ac:dyDescent="0.25">
      <c r="A199" s="144"/>
      <c r="B199" s="148"/>
      <c r="C199" s="93">
        <f t="shared" si="45"/>
        <v>8</v>
      </c>
      <c r="D199" s="197">
        <f t="shared" ca="1" si="46"/>
        <v>17.205500000000008</v>
      </c>
      <c r="E199" s="197">
        <f t="shared" ca="1" si="47"/>
        <v>17.206500000000009</v>
      </c>
      <c r="F199" s="93" t="str">
        <f t="shared" ca="1" si="48"/>
        <v>17.206 to 17.207</v>
      </c>
      <c r="G199" s="97">
        <f ca="1">COUNTIF(SPC!$C$37:$BA$37,"&lt;="&amp;E199)-COUNTIF(SPC!$C$37:$BA$37,"&lt;="&amp;D199)</f>
        <v>0</v>
      </c>
      <c r="H199" s="93">
        <f t="shared" ca="1" si="44"/>
        <v>2.574069261421039E-2</v>
      </c>
      <c r="I199" s="96"/>
      <c r="J199" s="88"/>
      <c r="K199" s="88"/>
      <c r="L199" s="88"/>
      <c r="M199" s="88"/>
      <c r="N199" s="88"/>
      <c r="O199" s="88"/>
      <c r="P199" s="88"/>
      <c r="Q199" s="88"/>
      <c r="R199" s="88"/>
      <c r="S199" s="88"/>
      <c r="T199" s="88"/>
      <c r="U199" s="88"/>
      <c r="V199" s="88"/>
      <c r="W199" s="143"/>
      <c r="X199" s="12"/>
      <c r="Y199" s="12"/>
    </row>
    <row r="200" spans="1:25" x14ac:dyDescent="0.25">
      <c r="A200" s="144"/>
      <c r="B200" s="148"/>
      <c r="C200" s="93">
        <f t="shared" si="45"/>
        <v>9</v>
      </c>
      <c r="D200" s="197">
        <f t="shared" ca="1" si="46"/>
        <v>17.206500000000009</v>
      </c>
      <c r="E200" s="197">
        <f t="shared" ca="1" si="47"/>
        <v>17.20750000000001</v>
      </c>
      <c r="F200" s="93" t="str">
        <f t="shared" ca="1" si="48"/>
        <v>17.207 to 17.208</v>
      </c>
      <c r="G200" s="97">
        <f ca="1">COUNTIF(SPC!$C$37:$BA$37,"&lt;="&amp;E200)-COUNTIF(SPC!$C$37:$BA$37,"&lt;="&amp;D200)</f>
        <v>0</v>
      </c>
      <c r="H200" s="93">
        <f t="shared" ca="1" si="44"/>
        <v>5.0373283985044849E-2</v>
      </c>
      <c r="I200" s="96"/>
      <c r="J200" s="88"/>
      <c r="K200" s="88"/>
      <c r="L200" s="88"/>
      <c r="M200" s="88"/>
      <c r="N200" s="88"/>
      <c r="O200" s="88"/>
      <c r="P200" s="88"/>
      <c r="Q200" s="88"/>
      <c r="R200" s="88"/>
      <c r="S200" s="88"/>
      <c r="T200" s="88"/>
      <c r="U200" s="88"/>
      <c r="V200" s="88"/>
      <c r="W200" s="143"/>
      <c r="X200" s="12"/>
      <c r="Y200" s="12"/>
    </row>
    <row r="201" spans="1:25" x14ac:dyDescent="0.25">
      <c r="A201" s="144"/>
      <c r="B201" s="148"/>
      <c r="C201" s="93">
        <f t="shared" si="45"/>
        <v>10</v>
      </c>
      <c r="D201" s="197">
        <f t="shared" ca="1" si="46"/>
        <v>17.20750000000001</v>
      </c>
      <c r="E201" s="197">
        <f t="shared" ca="1" si="47"/>
        <v>17.208500000000011</v>
      </c>
      <c r="F201" s="93" t="str">
        <f t="shared" ca="1" si="48"/>
        <v>17.208 to 17.209</v>
      </c>
      <c r="G201" s="97">
        <f ca="1">COUNTIF(SPC!$C$37:$BA$37,"&lt;="&amp;E201)-COUNTIF(SPC!$C$37:$BA$37,"&lt;="&amp;D201)</f>
        <v>0</v>
      </c>
      <c r="H201" s="93">
        <f t="shared" ca="1" si="44"/>
        <v>9.5680004771859339E-2</v>
      </c>
      <c r="I201" s="96"/>
      <c r="J201" s="88"/>
      <c r="K201" s="88"/>
      <c r="L201" s="88"/>
      <c r="M201" s="88"/>
      <c r="N201" s="88"/>
      <c r="O201" s="88"/>
      <c r="P201" s="88"/>
      <c r="Q201" s="88"/>
      <c r="R201" s="88"/>
      <c r="S201" s="88"/>
      <c r="T201" s="88"/>
      <c r="U201" s="88"/>
      <c r="V201" s="88"/>
      <c r="W201" s="143"/>
      <c r="X201" s="12"/>
      <c r="Y201" s="12"/>
    </row>
    <row r="202" spans="1:25" x14ac:dyDescent="0.25">
      <c r="A202" s="144"/>
      <c r="B202" s="148"/>
      <c r="C202" s="93">
        <f t="shared" si="45"/>
        <v>11</v>
      </c>
      <c r="D202" s="197">
        <f t="shared" ca="1" si="46"/>
        <v>17.208500000000011</v>
      </c>
      <c r="E202" s="197">
        <f t="shared" ca="1" si="47"/>
        <v>17.209500000000013</v>
      </c>
      <c r="F202" s="93" t="str">
        <f t="shared" ca="1" si="48"/>
        <v>17.209 to 17.210</v>
      </c>
      <c r="G202" s="97">
        <f ca="1">COUNTIF(SPC!$C$37:$BA$37,"&lt;="&amp;E202)-COUNTIF(SPC!$C$37:$BA$37,"&lt;="&amp;D202)</f>
        <v>0</v>
      </c>
      <c r="H202" s="93">
        <f t="shared" ca="1" si="44"/>
        <v>0.17639367122120206</v>
      </c>
      <c r="I202" s="96"/>
      <c r="J202" s="88"/>
      <c r="K202" s="88"/>
      <c r="L202" s="88"/>
      <c r="M202" s="88"/>
      <c r="N202" s="88"/>
      <c r="O202" s="88"/>
      <c r="P202" s="88"/>
      <c r="Q202" s="88"/>
      <c r="R202" s="88"/>
      <c r="S202" s="88"/>
      <c r="T202" s="88"/>
      <c r="U202" s="88"/>
      <c r="V202" s="88"/>
      <c r="W202" s="143"/>
      <c r="X202" s="12"/>
      <c r="Y202" s="12"/>
    </row>
    <row r="203" spans="1:25" x14ac:dyDescent="0.25">
      <c r="A203" s="144"/>
      <c r="B203" s="148"/>
      <c r="C203" s="93">
        <f t="shared" si="45"/>
        <v>12</v>
      </c>
      <c r="D203" s="197">
        <f t="shared" ca="1" si="46"/>
        <v>17.209500000000013</v>
      </c>
      <c r="E203" s="197">
        <f t="shared" ca="1" si="47"/>
        <v>17.210500000000014</v>
      </c>
      <c r="F203" s="93" t="str">
        <f t="shared" ca="1" si="48"/>
        <v>17.210 to 17.211</v>
      </c>
      <c r="G203" s="97">
        <f ca="1">COUNTIF(SPC!$C$37:$BA$37,"&lt;="&amp;E203)-COUNTIF(SPC!$C$37:$BA$37,"&lt;="&amp;D203)</f>
        <v>0</v>
      </c>
      <c r="H203" s="93">
        <f t="shared" ca="1" si="44"/>
        <v>0.31563539405488572</v>
      </c>
      <c r="I203" s="96"/>
      <c r="J203" s="88"/>
      <c r="K203" s="88"/>
      <c r="L203" s="88"/>
      <c r="M203" s="88"/>
      <c r="N203" s="88"/>
      <c r="O203" s="88"/>
      <c r="P203" s="88"/>
      <c r="Q203" s="88"/>
      <c r="R203" s="88"/>
      <c r="S203" s="88"/>
      <c r="T203" s="88"/>
      <c r="U203" s="88"/>
      <c r="V203" s="88"/>
      <c r="W203" s="143"/>
      <c r="X203" s="12"/>
      <c r="Y203" s="12"/>
    </row>
    <row r="204" spans="1:25" x14ac:dyDescent="0.25">
      <c r="A204" s="144"/>
      <c r="B204" s="148"/>
      <c r="C204" s="93">
        <f t="shared" si="45"/>
        <v>13</v>
      </c>
      <c r="D204" s="197">
        <f t="shared" ca="1" si="46"/>
        <v>17.210500000000014</v>
      </c>
      <c r="E204" s="197">
        <f t="shared" ca="1" si="47"/>
        <v>17.211500000000015</v>
      </c>
      <c r="F204" s="93" t="str">
        <f t="shared" ca="1" si="48"/>
        <v>17.211 to 17.212</v>
      </c>
      <c r="G204" s="97">
        <f ca="1">COUNTIF(SPC!$C$37:$BA$37,"&lt;="&amp;E204)-COUNTIF(SPC!$C$37:$BA$37,"&lt;="&amp;D204)</f>
        <v>0</v>
      </c>
      <c r="H204" s="93">
        <f t="shared" ca="1" si="44"/>
        <v>0.54818769477442164</v>
      </c>
      <c r="I204" s="96"/>
      <c r="J204" s="88"/>
      <c r="K204" s="88"/>
      <c r="L204" s="88"/>
      <c r="M204" s="88"/>
      <c r="N204" s="88"/>
      <c r="O204" s="88"/>
      <c r="P204" s="88"/>
      <c r="Q204" s="88"/>
      <c r="R204" s="88"/>
      <c r="S204" s="88"/>
      <c r="T204" s="88"/>
      <c r="U204" s="88"/>
      <c r="V204" s="88"/>
      <c r="W204" s="143"/>
      <c r="X204" s="12"/>
      <c r="Y204" s="12"/>
    </row>
    <row r="205" spans="1:25" x14ac:dyDescent="0.25">
      <c r="A205" s="144"/>
      <c r="B205" s="148"/>
      <c r="C205" s="93">
        <f t="shared" si="45"/>
        <v>14</v>
      </c>
      <c r="D205" s="197">
        <f t="shared" ca="1" si="46"/>
        <v>17.211500000000015</v>
      </c>
      <c r="E205" s="197">
        <f t="shared" ca="1" si="47"/>
        <v>17.212500000000016</v>
      </c>
      <c r="F205" s="93" t="str">
        <f t="shared" ca="1" si="48"/>
        <v>17.212 to 17.213</v>
      </c>
      <c r="G205" s="97">
        <f ca="1">COUNTIF(SPC!$C$37:$BA$37,"&lt;="&amp;E205)-COUNTIF(SPC!$C$37:$BA$37,"&lt;="&amp;D205)</f>
        <v>0</v>
      </c>
      <c r="H205" s="93">
        <f t="shared" ca="1" si="44"/>
        <v>0.9240889036737886</v>
      </c>
      <c r="I205" s="96"/>
      <c r="J205" s="88"/>
      <c r="K205" s="88"/>
      <c r="L205" s="88"/>
      <c r="M205" s="88"/>
      <c r="N205" s="88"/>
      <c r="O205" s="88"/>
      <c r="P205" s="88"/>
      <c r="Q205" s="88"/>
      <c r="R205" s="88"/>
      <c r="S205" s="88"/>
      <c r="T205" s="88"/>
      <c r="U205" s="88"/>
      <c r="V205" s="88"/>
      <c r="W205" s="143"/>
      <c r="X205" s="12"/>
      <c r="Y205" s="12"/>
    </row>
    <row r="206" spans="1:25" x14ac:dyDescent="0.25">
      <c r="A206" s="144"/>
      <c r="B206" s="148"/>
      <c r="C206" s="93">
        <f t="shared" si="45"/>
        <v>15</v>
      </c>
      <c r="D206" s="197">
        <f t="shared" ca="1" si="46"/>
        <v>17.212500000000016</v>
      </c>
      <c r="E206" s="197">
        <f t="shared" ca="1" si="47"/>
        <v>17.213500000000018</v>
      </c>
      <c r="F206" s="93" t="str">
        <f t="shared" ca="1" si="48"/>
        <v>17.213 to 17.214</v>
      </c>
      <c r="G206" s="97">
        <f ca="1">COUNTIF(SPC!$C$37:$BA$37,"&lt;="&amp;E206)-COUNTIF(SPC!$C$37:$BA$37,"&lt;="&amp;D206)</f>
        <v>0</v>
      </c>
      <c r="H206" s="93">
        <f t="shared" ca="1" si="44"/>
        <v>1.5119558694291784</v>
      </c>
      <c r="I206" s="96"/>
      <c r="J206" s="88"/>
      <c r="K206" s="88"/>
      <c r="L206" s="88"/>
      <c r="M206" s="88"/>
      <c r="N206" s="88"/>
      <c r="O206" s="88"/>
      <c r="P206" s="88"/>
      <c r="Q206" s="88"/>
      <c r="R206" s="88"/>
      <c r="S206" s="88"/>
      <c r="T206" s="88"/>
      <c r="U206" s="88"/>
      <c r="V206" s="88"/>
      <c r="W206" s="143"/>
      <c r="X206" s="12"/>
      <c r="Y206" s="12"/>
    </row>
    <row r="207" spans="1:25" x14ac:dyDescent="0.25">
      <c r="A207" s="144"/>
      <c r="B207" s="148"/>
      <c r="C207" s="93">
        <f t="shared" si="45"/>
        <v>16</v>
      </c>
      <c r="D207" s="197">
        <f t="shared" ca="1" si="46"/>
        <v>17.213500000000018</v>
      </c>
      <c r="E207" s="197">
        <f t="shared" ca="1" si="47"/>
        <v>17.214500000000019</v>
      </c>
      <c r="F207" s="93" t="str">
        <f t="shared" ca="1" si="48"/>
        <v>17.214 to 17.215</v>
      </c>
      <c r="G207" s="97">
        <f ca="1">COUNTIF(SPC!$C$37:$BA$37,"&lt;="&amp;E207)-COUNTIF(SPC!$C$37:$BA$37,"&lt;="&amp;D207)</f>
        <v>0</v>
      </c>
      <c r="H207" s="93">
        <f t="shared" ca="1" si="44"/>
        <v>2.4010729908996877</v>
      </c>
      <c r="I207" s="96"/>
      <c r="J207" s="88"/>
      <c r="K207" s="88"/>
      <c r="L207" s="88"/>
      <c r="M207" s="88"/>
      <c r="N207" s="88"/>
      <c r="O207" s="88"/>
      <c r="P207" s="88"/>
      <c r="Q207" s="88"/>
      <c r="R207" s="88"/>
      <c r="S207" s="88"/>
      <c r="T207" s="88"/>
      <c r="U207" s="88"/>
      <c r="V207" s="88"/>
      <c r="W207" s="143"/>
      <c r="X207" s="12"/>
      <c r="Y207" s="12"/>
    </row>
    <row r="208" spans="1:25" x14ac:dyDescent="0.25">
      <c r="A208" s="144"/>
      <c r="B208" s="148"/>
      <c r="C208" s="93">
        <f t="shared" si="45"/>
        <v>17</v>
      </c>
      <c r="D208" s="197">
        <f t="shared" ca="1" si="46"/>
        <v>17.214500000000019</v>
      </c>
      <c r="E208" s="197">
        <f t="shared" ca="1" si="47"/>
        <v>17.21550000000002</v>
      </c>
      <c r="F208" s="93" t="str">
        <f t="shared" ca="1" si="48"/>
        <v>17.215 to 17.216</v>
      </c>
      <c r="G208" s="97">
        <f ca="1">COUNTIF(SPC!$C$37:$BA$37,"&lt;="&amp;E208)-COUNTIF(SPC!$C$37:$BA$37,"&lt;="&amp;D208)</f>
        <v>0</v>
      </c>
      <c r="H208" s="93">
        <f t="shared" ca="1" si="44"/>
        <v>3.70094385753338</v>
      </c>
      <c r="I208" s="96"/>
      <c r="J208" s="88"/>
      <c r="K208" s="88"/>
      <c r="L208" s="88"/>
      <c r="M208" s="88"/>
      <c r="N208" s="88"/>
      <c r="O208" s="88"/>
      <c r="P208" s="88"/>
      <c r="Q208" s="88"/>
      <c r="R208" s="88"/>
      <c r="S208" s="88"/>
      <c r="T208" s="88"/>
      <c r="U208" s="88"/>
      <c r="V208" s="88"/>
      <c r="W208" s="143"/>
      <c r="X208" s="12"/>
      <c r="Y208" s="12"/>
    </row>
    <row r="209" spans="1:25" x14ac:dyDescent="0.25">
      <c r="A209" s="144"/>
      <c r="B209" s="148"/>
      <c r="C209" s="93">
        <f t="shared" si="45"/>
        <v>18</v>
      </c>
      <c r="D209" s="197">
        <f t="shared" ca="1" si="46"/>
        <v>17.21550000000002</v>
      </c>
      <c r="E209" s="197">
        <f t="shared" ca="1" si="47"/>
        <v>17.216500000000021</v>
      </c>
      <c r="F209" s="93" t="str">
        <f t="shared" ca="1" si="48"/>
        <v>17.216 to 17.217</v>
      </c>
      <c r="G209" s="97">
        <f ca="1">COUNTIF(SPC!$C$37:$BA$37,"&lt;="&amp;E209)-COUNTIF(SPC!$C$37:$BA$37,"&lt;="&amp;D209)</f>
        <v>0</v>
      </c>
      <c r="H209" s="93">
        <f t="shared" ca="1" si="44"/>
        <v>5.5368214506616003</v>
      </c>
      <c r="I209" s="96"/>
      <c r="J209" s="88"/>
      <c r="K209" s="88"/>
      <c r="L209" s="88"/>
      <c r="M209" s="88"/>
      <c r="N209" s="88"/>
      <c r="O209" s="88"/>
      <c r="P209" s="88"/>
      <c r="Q209" s="88"/>
      <c r="R209" s="88"/>
      <c r="S209" s="88"/>
      <c r="T209" s="88"/>
      <c r="U209" s="88"/>
      <c r="V209" s="88"/>
      <c r="W209" s="143"/>
      <c r="X209" s="12"/>
      <c r="Y209" s="12"/>
    </row>
    <row r="210" spans="1:25" x14ac:dyDescent="0.25">
      <c r="A210" s="144"/>
      <c r="B210" s="148"/>
      <c r="C210" s="93">
        <f t="shared" si="45"/>
        <v>19</v>
      </c>
      <c r="D210" s="197">
        <f t="shared" ca="1" si="46"/>
        <v>17.216500000000021</v>
      </c>
      <c r="E210" s="197">
        <f t="shared" ca="1" si="47"/>
        <v>17.217500000000022</v>
      </c>
      <c r="F210" s="93" t="str">
        <f t="shared" ca="1" si="48"/>
        <v>17.217 to 17.218</v>
      </c>
      <c r="G210" s="97">
        <f ca="1">COUNTIF(SPC!$C$37:$BA$37,"&lt;="&amp;E210)-COUNTIF(SPC!$C$37:$BA$37,"&lt;="&amp;D210)</f>
        <v>0</v>
      </c>
      <c r="H210" s="93">
        <f t="shared" ca="1" si="44"/>
        <v>8.039877429161006</v>
      </c>
      <c r="I210" s="96"/>
      <c r="J210" s="88"/>
      <c r="K210" s="88"/>
      <c r="L210" s="88"/>
      <c r="M210" s="88"/>
      <c r="N210" s="88"/>
      <c r="O210" s="88"/>
      <c r="P210" s="88"/>
      <c r="Q210" s="88"/>
      <c r="R210" s="88"/>
      <c r="S210" s="88"/>
      <c r="T210" s="88"/>
      <c r="U210" s="88"/>
      <c r="V210" s="88"/>
      <c r="W210" s="143"/>
      <c r="X210" s="12"/>
      <c r="Y210" s="12"/>
    </row>
    <row r="211" spans="1:25" x14ac:dyDescent="0.25">
      <c r="A211" s="144"/>
      <c r="B211" s="148"/>
      <c r="C211" s="93">
        <f t="shared" si="45"/>
        <v>20</v>
      </c>
      <c r="D211" s="197">
        <f t="shared" ca="1" si="46"/>
        <v>17.217500000000022</v>
      </c>
      <c r="E211" s="197">
        <f t="shared" ca="1" si="47"/>
        <v>17.218500000000024</v>
      </c>
      <c r="F211" s="93" t="str">
        <f t="shared" ca="1" si="48"/>
        <v>17.218 to 17.219</v>
      </c>
      <c r="G211" s="97">
        <f ca="1">COUNTIF(SPC!$C$37:$BA$37,"&lt;="&amp;E211)-COUNTIF(SPC!$C$37:$BA$37,"&lt;="&amp;D211)</f>
        <v>0</v>
      </c>
      <c r="H211" s="93">
        <f t="shared" ca="1" si="44"/>
        <v>11.331286598387232</v>
      </c>
      <c r="I211" s="96"/>
      <c r="J211" s="88"/>
      <c r="K211" s="88"/>
      <c r="L211" s="88"/>
      <c r="M211" s="88"/>
      <c r="N211" s="88"/>
      <c r="O211" s="88"/>
      <c r="P211" s="88"/>
      <c r="Q211" s="88"/>
      <c r="R211" s="88"/>
      <c r="S211" s="88"/>
      <c r="T211" s="88"/>
      <c r="U211" s="88"/>
      <c r="V211" s="88"/>
      <c r="W211" s="143"/>
      <c r="X211" s="12"/>
      <c r="Y211" s="12"/>
    </row>
    <row r="212" spans="1:25" x14ac:dyDescent="0.25">
      <c r="A212" s="144"/>
      <c r="B212" s="148"/>
      <c r="C212" s="93">
        <f t="shared" si="45"/>
        <v>21</v>
      </c>
      <c r="D212" s="197">
        <f t="shared" ca="1" si="46"/>
        <v>17.218500000000024</v>
      </c>
      <c r="E212" s="197">
        <f t="shared" ca="1" si="47"/>
        <v>17.219500000000025</v>
      </c>
      <c r="F212" s="93" t="str">
        <f t="shared" ca="1" si="48"/>
        <v>17.219 to 17.220</v>
      </c>
      <c r="G212" s="97">
        <f ca="1">COUNTIF(SPC!$C$37:$BA$37,"&lt;="&amp;E212)-COUNTIF(SPC!$C$37:$BA$37,"&lt;="&amp;D212)</f>
        <v>0</v>
      </c>
      <c r="H212" s="93">
        <f t="shared" ca="1" si="44"/>
        <v>15.500649914837542</v>
      </c>
      <c r="I212" s="104"/>
      <c r="J212" s="88"/>
      <c r="K212" s="88"/>
      <c r="L212" s="88"/>
      <c r="M212" s="88"/>
      <c r="N212" s="88"/>
      <c r="O212" s="88"/>
      <c r="P212" s="88"/>
      <c r="Q212" s="88"/>
      <c r="R212" s="88"/>
      <c r="S212" s="88"/>
      <c r="T212" s="88"/>
      <c r="U212" s="88"/>
      <c r="V212" s="88"/>
      <c r="W212" s="143"/>
      <c r="X212" s="12"/>
      <c r="Y212" s="12"/>
    </row>
    <row r="213" spans="1:25" x14ac:dyDescent="0.25">
      <c r="A213" s="144"/>
      <c r="B213" s="148"/>
      <c r="C213" s="93">
        <f t="shared" si="45"/>
        <v>22</v>
      </c>
      <c r="D213" s="197">
        <f t="shared" ca="1" si="46"/>
        <v>17.219500000000025</v>
      </c>
      <c r="E213" s="197">
        <f t="shared" ca="1" si="47"/>
        <v>17.220500000000026</v>
      </c>
      <c r="F213" s="93" t="str">
        <f t="shared" ca="1" si="48"/>
        <v>17.220 to 17.221</v>
      </c>
      <c r="G213" s="97">
        <f ca="1">COUNTIF(SPC!$C$37:$BA$37,"&lt;="&amp;E213)-COUNTIF(SPC!$C$37:$BA$37,"&lt;="&amp;D213)</f>
        <v>0</v>
      </c>
      <c r="H213" s="93">
        <f t="shared" ca="1" si="44"/>
        <v>20.580763336824088</v>
      </c>
      <c r="I213" s="104"/>
      <c r="J213" s="88"/>
      <c r="K213" s="88"/>
      <c r="L213" s="88"/>
      <c r="M213" s="88"/>
      <c r="N213" s="88"/>
      <c r="O213" s="88"/>
      <c r="P213" s="88"/>
      <c r="Q213" s="88"/>
      <c r="R213" s="88"/>
      <c r="S213" s="88"/>
      <c r="T213" s="88"/>
      <c r="U213" s="88"/>
      <c r="V213" s="88"/>
      <c r="W213" s="143"/>
      <c r="X213" s="12"/>
      <c r="Y213" s="12"/>
    </row>
    <row r="214" spans="1:25" x14ac:dyDescent="0.25">
      <c r="A214" s="144"/>
      <c r="B214" s="148"/>
      <c r="C214" s="93">
        <f t="shared" si="45"/>
        <v>23</v>
      </c>
      <c r="D214" s="197">
        <f t="shared" ca="1" si="46"/>
        <v>17.220500000000026</v>
      </c>
      <c r="E214" s="197">
        <f t="shared" ca="1" si="47"/>
        <v>17.221500000000027</v>
      </c>
      <c r="F214" s="93" t="str">
        <f t="shared" ca="1" si="48"/>
        <v>17.221 to 17.222</v>
      </c>
      <c r="G214" s="97">
        <f ca="1">COUNTIF(SPC!$C$37:$BA$37,"&lt;="&amp;E214)-COUNTIF(SPC!$C$37:$BA$37,"&lt;="&amp;D214)</f>
        <v>0</v>
      </c>
      <c r="H214" s="93">
        <f t="shared" ca="1" si="44"/>
        <v>26.522468164168988</v>
      </c>
      <c r="I214" s="104"/>
      <c r="J214" s="88"/>
      <c r="K214" s="88"/>
      <c r="L214" s="88"/>
      <c r="M214" s="88"/>
      <c r="N214" s="88"/>
      <c r="O214" s="88"/>
      <c r="P214" s="88"/>
      <c r="Q214" s="88"/>
      <c r="R214" s="88"/>
      <c r="S214" s="88"/>
      <c r="T214" s="88"/>
      <c r="U214" s="88"/>
      <c r="V214" s="88"/>
      <c r="W214" s="143"/>
      <c r="X214" s="12"/>
      <c r="Y214" s="12"/>
    </row>
    <row r="215" spans="1:25" x14ac:dyDescent="0.25">
      <c r="A215" s="144"/>
      <c r="B215" s="148"/>
      <c r="C215" s="93">
        <f t="shared" si="45"/>
        <v>24</v>
      </c>
      <c r="D215" s="197">
        <f t="shared" ca="1" si="46"/>
        <v>17.221500000000027</v>
      </c>
      <c r="E215" s="197">
        <f t="shared" ca="1" si="47"/>
        <v>17.222500000000029</v>
      </c>
      <c r="F215" s="93" t="str">
        <f t="shared" ca="1" si="48"/>
        <v>17.222 to 17.223</v>
      </c>
      <c r="G215" s="97">
        <f ca="1">COUNTIF(SPC!$C$37:$BA$37,"&lt;="&amp;E215)-COUNTIF(SPC!$C$37:$BA$37,"&lt;="&amp;D215)</f>
        <v>0</v>
      </c>
      <c r="H215" s="93">
        <f t="shared" ca="1" si="44"/>
        <v>33.174721235810509</v>
      </c>
      <c r="I215" s="104"/>
      <c r="J215" s="88"/>
      <c r="K215" s="88"/>
      <c r="L215" s="88"/>
      <c r="M215" s="88"/>
      <c r="N215" s="88"/>
      <c r="O215" s="88"/>
      <c r="P215" s="88"/>
      <c r="Q215" s="88"/>
      <c r="R215" s="88"/>
      <c r="S215" s="88"/>
      <c r="T215" s="88"/>
      <c r="U215" s="88"/>
      <c r="V215" s="88"/>
      <c r="W215" s="143"/>
      <c r="X215" s="12"/>
      <c r="Y215" s="12"/>
    </row>
    <row r="216" spans="1:25" x14ac:dyDescent="0.25">
      <c r="A216" s="144"/>
      <c r="B216" s="148"/>
      <c r="C216" s="93">
        <f t="shared" si="45"/>
        <v>25</v>
      </c>
      <c r="D216" s="197">
        <f t="shared" ca="1" si="46"/>
        <v>17.222500000000029</v>
      </c>
      <c r="E216" s="197">
        <f t="shared" ca="1" si="47"/>
        <v>17.22350000000003</v>
      </c>
      <c r="F216" s="93" t="str">
        <f t="shared" ca="1" si="48"/>
        <v>17.223 to 17.224</v>
      </c>
      <c r="G216" s="97">
        <f ca="1">COUNTIF(SPC!$C$37:$BA$37,"&lt;="&amp;E216)-COUNTIF(SPC!$C$37:$BA$37,"&lt;="&amp;D216)</f>
        <v>13</v>
      </c>
      <c r="H216" s="93">
        <f t="shared" ca="1" si="44"/>
        <v>40.27555325460586</v>
      </c>
      <c r="I216" s="104"/>
      <c r="J216" s="88"/>
      <c r="K216" s="88"/>
      <c r="L216" s="88"/>
      <c r="M216" s="88"/>
      <c r="N216" s="88"/>
      <c r="O216" s="88"/>
      <c r="P216" s="88"/>
      <c r="Q216" s="88"/>
      <c r="R216" s="88"/>
      <c r="S216" s="88"/>
      <c r="T216" s="88"/>
      <c r="U216" s="88"/>
      <c r="V216" s="88"/>
      <c r="W216" s="143"/>
      <c r="X216" s="12"/>
      <c r="Y216" s="12"/>
    </row>
    <row r="217" spans="1:25" x14ac:dyDescent="0.25">
      <c r="A217" s="144"/>
      <c r="B217" s="148"/>
      <c r="C217" s="93">
        <f t="shared" si="45"/>
        <v>26</v>
      </c>
      <c r="D217" s="197">
        <f t="shared" ca="1" si="46"/>
        <v>17.22350000000003</v>
      </c>
      <c r="E217" s="197">
        <f t="shared" ca="1" si="47"/>
        <v>17.224500000000031</v>
      </c>
      <c r="F217" s="93" t="str">
        <f t="shared" ca="1" si="48"/>
        <v>17.224 to 17.225</v>
      </c>
      <c r="G217" s="97">
        <f ca="1">COUNTIF(SPC!$C$37:$BA$37,"&lt;="&amp;E217)-COUNTIF(SPC!$C$37:$BA$37,"&lt;="&amp;D217)</f>
        <v>13</v>
      </c>
      <c r="H217" s="93">
        <f t="shared" ca="1" si="44"/>
        <v>47.458787111480007</v>
      </c>
      <c r="I217" s="104"/>
      <c r="J217" s="88"/>
      <c r="K217" s="88"/>
      <c r="L217" s="88"/>
      <c r="M217" s="88"/>
      <c r="N217" s="88"/>
      <c r="O217" s="88"/>
      <c r="P217" s="88"/>
      <c r="Q217" s="88"/>
      <c r="R217" s="88"/>
      <c r="S217" s="88"/>
      <c r="T217" s="88"/>
      <c r="U217" s="88"/>
      <c r="V217" s="88"/>
      <c r="W217" s="143"/>
      <c r="X217" s="12"/>
      <c r="Y217" s="12"/>
    </row>
    <row r="218" spans="1:25" x14ac:dyDescent="0.25">
      <c r="A218" s="144"/>
      <c r="B218" s="148"/>
      <c r="C218" s="93">
        <f t="shared" si="45"/>
        <v>27</v>
      </c>
      <c r="D218" s="197">
        <f t="shared" ca="1" si="46"/>
        <v>17.224500000000031</v>
      </c>
      <c r="E218" s="197">
        <f t="shared" ca="1" si="47"/>
        <v>17.225500000000032</v>
      </c>
      <c r="F218" s="93" t="str">
        <f t="shared" ca="1" si="48"/>
        <v>17.225 to 17.226</v>
      </c>
      <c r="G218" s="97">
        <f ca="1">COUNTIF(SPC!$C$37:$BA$37,"&lt;="&amp;E218)-COUNTIF(SPC!$C$37:$BA$37,"&lt;="&amp;D218)</f>
        <v>0</v>
      </c>
      <c r="H218" s="93">
        <f t="shared" ca="1" si="44"/>
        <v>54.279100516966857</v>
      </c>
      <c r="I218" s="104"/>
      <c r="J218" s="88"/>
      <c r="K218" s="88"/>
      <c r="L218" s="88"/>
      <c r="M218" s="88"/>
      <c r="N218" s="88"/>
      <c r="O218" s="88"/>
      <c r="P218" s="88"/>
      <c r="Q218" s="88"/>
      <c r="R218" s="88"/>
      <c r="S218" s="88"/>
      <c r="T218" s="88"/>
      <c r="U218" s="88"/>
      <c r="V218" s="88"/>
      <c r="W218" s="143"/>
      <c r="X218" s="12"/>
      <c r="Y218" s="12"/>
    </row>
    <row r="219" spans="1:25" x14ac:dyDescent="0.25">
      <c r="A219" s="144"/>
      <c r="B219" s="148"/>
      <c r="C219" s="93">
        <f t="shared" si="45"/>
        <v>28</v>
      </c>
      <c r="D219" s="197">
        <f t="shared" ca="1" si="46"/>
        <v>17.225500000000032</v>
      </c>
      <c r="E219" s="197">
        <f t="shared" ca="1" si="47"/>
        <v>17.226500000000033</v>
      </c>
      <c r="F219" s="93" t="str">
        <f t="shared" ca="1" si="48"/>
        <v>17.226 to 17.227</v>
      </c>
      <c r="G219" s="97">
        <f ca="1">COUNTIF(SPC!$C$37:$BA$37,"&lt;="&amp;E219)-COUNTIF(SPC!$C$37:$BA$37,"&lt;="&amp;D219)</f>
        <v>0</v>
      </c>
      <c r="H219" s="93">
        <f t="shared" ca="1" si="44"/>
        <v>60.254506899192968</v>
      </c>
      <c r="I219" s="104"/>
      <c r="J219" s="88"/>
      <c r="K219" s="88"/>
      <c r="L219" s="88"/>
      <c r="M219" s="88"/>
      <c r="N219" s="88"/>
      <c r="O219" s="88"/>
      <c r="P219" s="88"/>
      <c r="Q219" s="88"/>
      <c r="R219" s="88"/>
      <c r="S219" s="88"/>
      <c r="T219" s="88"/>
      <c r="U219" s="88"/>
      <c r="V219" s="88"/>
      <c r="W219" s="143"/>
      <c r="X219" s="12"/>
      <c r="Y219" s="12"/>
    </row>
    <row r="220" spans="1:25" x14ac:dyDescent="0.25">
      <c r="A220" s="144"/>
      <c r="B220" s="148"/>
      <c r="C220" s="93">
        <f t="shared" si="45"/>
        <v>29</v>
      </c>
      <c r="D220" s="197">
        <f t="shared" ca="1" si="46"/>
        <v>17.226500000000033</v>
      </c>
      <c r="E220" s="197">
        <f t="shared" ca="1" si="47"/>
        <v>17.227500000000035</v>
      </c>
      <c r="F220" s="93" t="str">
        <f t="shared" ca="1" si="48"/>
        <v>17.227 to 17.228</v>
      </c>
      <c r="G220" s="97">
        <f ca="1">COUNTIF(SPC!$C$37:$BA$37,"&lt;="&amp;E220)-COUNTIF(SPC!$C$37:$BA$37,"&lt;="&amp;D220)</f>
        <v>0</v>
      </c>
      <c r="H220" s="93">
        <f t="shared" ca="1" si="44"/>
        <v>64.921316569845359</v>
      </c>
      <c r="I220" s="104"/>
      <c r="J220" s="88"/>
      <c r="K220" s="88"/>
      <c r="L220" s="88"/>
      <c r="M220" s="88"/>
      <c r="N220" s="88"/>
      <c r="O220" s="88"/>
      <c r="P220" s="88"/>
      <c r="Q220" s="88"/>
      <c r="R220" s="88"/>
      <c r="S220" s="88"/>
      <c r="T220" s="88"/>
      <c r="U220" s="88"/>
      <c r="V220" s="88"/>
      <c r="W220" s="143"/>
      <c r="X220" s="12"/>
      <c r="Y220" s="12"/>
    </row>
    <row r="221" spans="1:25" x14ac:dyDescent="0.25">
      <c r="A221" s="144"/>
      <c r="B221" s="148"/>
      <c r="C221" s="93">
        <f t="shared" si="45"/>
        <v>30</v>
      </c>
      <c r="D221" s="197">
        <f t="shared" ca="1" si="46"/>
        <v>17.227500000000035</v>
      </c>
      <c r="E221" s="197">
        <f t="shared" ca="1" si="47"/>
        <v>17.228500000000036</v>
      </c>
      <c r="F221" s="93" t="str">
        <f t="shared" ca="1" si="48"/>
        <v>17.228 to 17.229</v>
      </c>
      <c r="G221" s="97">
        <f ca="1">COUNTIF(SPC!$C$37:$BA$37,"&lt;="&amp;E221)-COUNTIF(SPC!$C$37:$BA$37,"&lt;="&amp;D221)</f>
        <v>0</v>
      </c>
      <c r="H221" s="93">
        <f t="shared" ca="1" si="44"/>
        <v>67.893154492040466</v>
      </c>
      <c r="I221" s="104"/>
      <c r="J221" s="88"/>
      <c r="K221" s="88"/>
      <c r="L221" s="88"/>
      <c r="M221" s="88"/>
      <c r="N221" s="88"/>
      <c r="O221" s="88"/>
      <c r="P221" s="88"/>
      <c r="Q221" s="88"/>
      <c r="R221" s="88"/>
      <c r="S221" s="88"/>
      <c r="T221" s="88"/>
      <c r="U221" s="88"/>
      <c r="V221" s="88"/>
      <c r="W221" s="143"/>
      <c r="X221" s="12"/>
      <c r="Y221" s="12"/>
    </row>
    <row r="222" spans="1:25" x14ac:dyDescent="0.25">
      <c r="A222" s="144"/>
      <c r="B222" s="148"/>
      <c r="C222" s="93">
        <f t="shared" si="45"/>
        <v>31</v>
      </c>
      <c r="D222" s="197">
        <f t="shared" ca="1" si="46"/>
        <v>17.228500000000036</v>
      </c>
      <c r="E222" s="197">
        <f t="shared" ca="1" si="47"/>
        <v>17.229500000000037</v>
      </c>
      <c r="F222" s="93" t="str">
        <f t="shared" ca="1" si="48"/>
        <v>17.229 to 17.230</v>
      </c>
      <c r="G222" s="97">
        <f ca="1">COUNTIF(SPC!$C$37:$BA$37,"&lt;="&amp;E222)-COUNTIF(SPC!$C$37:$BA$37,"&lt;="&amp;D222)</f>
        <v>0</v>
      </c>
      <c r="H222" s="93">
        <f t="shared" ca="1" si="44"/>
        <v>68.913696190733262</v>
      </c>
      <c r="I222" s="104"/>
      <c r="J222" s="88"/>
      <c r="K222" s="88"/>
      <c r="L222" s="88"/>
      <c r="M222" s="88"/>
      <c r="N222" s="88"/>
      <c r="O222" s="88"/>
      <c r="P222" s="88"/>
      <c r="Q222" s="88"/>
      <c r="R222" s="88"/>
      <c r="S222" s="88"/>
      <c r="T222" s="88"/>
      <c r="U222" s="88"/>
      <c r="V222" s="88"/>
      <c r="W222" s="143"/>
      <c r="X222" s="12"/>
      <c r="Y222" s="12"/>
    </row>
    <row r="223" spans="1:25" x14ac:dyDescent="0.25">
      <c r="A223" s="144"/>
      <c r="B223" s="148"/>
      <c r="C223" s="93">
        <f t="shared" si="45"/>
        <v>32</v>
      </c>
      <c r="D223" s="197">
        <f t="shared" ca="1" si="46"/>
        <v>17.229500000000037</v>
      </c>
      <c r="E223" s="197">
        <f t="shared" ca="1" si="47"/>
        <v>17.230500000000038</v>
      </c>
      <c r="F223" s="93" t="str">
        <f t="shared" ca="1" si="48"/>
        <v>17.230 to 17.231</v>
      </c>
      <c r="G223" s="97">
        <f ca="1">COUNTIF(SPC!$C$37:$BA$37,"&lt;="&amp;E223)-COUNTIF(SPC!$C$37:$BA$37,"&lt;="&amp;D223)</f>
        <v>0</v>
      </c>
      <c r="H223" s="93">
        <f t="shared" ref="H223:H254" ca="1" si="49">IF(G$181&lt;&gt;0,NORMDIST(D$189+C223*D$188-D$188/2,D$182,G$181,FALSE),D223)</f>
        <v>67.893154492033275</v>
      </c>
      <c r="I223" s="104"/>
      <c r="J223" s="88"/>
      <c r="K223" s="88"/>
      <c r="L223" s="88"/>
      <c r="M223" s="88"/>
      <c r="N223" s="88"/>
      <c r="O223" s="88"/>
      <c r="P223" s="88"/>
      <c r="Q223" s="88"/>
      <c r="R223" s="88"/>
      <c r="S223" s="88"/>
      <c r="T223" s="88"/>
      <c r="U223" s="88"/>
      <c r="V223" s="88"/>
      <c r="W223" s="143"/>
      <c r="X223" s="12"/>
      <c r="Y223" s="12"/>
    </row>
    <row r="224" spans="1:25" x14ac:dyDescent="0.25">
      <c r="A224" s="144"/>
      <c r="B224" s="148"/>
      <c r="C224" s="93">
        <f t="shared" ref="C224:C255" si="50">C223+1</f>
        <v>33</v>
      </c>
      <c r="D224" s="197">
        <f t="shared" ref="D224:D255" ca="1" si="51">E223</f>
        <v>17.230500000000038</v>
      </c>
      <c r="E224" s="197">
        <f t="shared" ref="E224:E255" ca="1" si="52">D224+$D$188</f>
        <v>17.23150000000004</v>
      </c>
      <c r="F224" s="93" t="str">
        <f t="shared" ref="F224:F255" ca="1" si="53">FIXED(D224,$E$180)&amp;" to "&amp;FIXED(E224,$E$180)</f>
        <v>17.231 to 17.232</v>
      </c>
      <c r="G224" s="97">
        <f ca="1">COUNTIF(SPC!$C$37:$BA$37,"&lt;="&amp;E224)-COUNTIF(SPC!$C$37:$BA$37,"&lt;="&amp;D224)</f>
        <v>0</v>
      </c>
      <c r="H224" s="93">
        <f t="shared" ca="1" si="49"/>
        <v>64.921316569831603</v>
      </c>
      <c r="I224" s="104"/>
      <c r="J224" s="88"/>
      <c r="K224" s="88"/>
      <c r="L224" s="88"/>
      <c r="M224" s="88"/>
      <c r="N224" s="88"/>
      <c r="O224" s="88"/>
      <c r="P224" s="88"/>
      <c r="Q224" s="88"/>
      <c r="R224" s="88"/>
      <c r="S224" s="88"/>
      <c r="T224" s="88"/>
      <c r="U224" s="88"/>
      <c r="V224" s="88"/>
      <c r="W224" s="143"/>
      <c r="X224" s="12"/>
      <c r="Y224" s="12"/>
    </row>
    <row r="225" spans="1:25" x14ac:dyDescent="0.25">
      <c r="A225" s="144"/>
      <c r="B225" s="148"/>
      <c r="C225" s="93">
        <f t="shared" si="50"/>
        <v>34</v>
      </c>
      <c r="D225" s="197">
        <f t="shared" ca="1" si="51"/>
        <v>17.23150000000004</v>
      </c>
      <c r="E225" s="197">
        <f t="shared" ca="1" si="52"/>
        <v>17.232500000000041</v>
      </c>
      <c r="F225" s="93" t="str">
        <f t="shared" ca="1" si="53"/>
        <v>17.232 to 17.233</v>
      </c>
      <c r="G225" s="97">
        <f ca="1">COUNTIF(SPC!$C$37:$BA$37,"&lt;="&amp;E225)-COUNTIF(SPC!$C$37:$BA$37,"&lt;="&amp;D225)</f>
        <v>13</v>
      </c>
      <c r="H225" s="93">
        <f t="shared" ca="1" si="49"/>
        <v>60.254506899192968</v>
      </c>
      <c r="I225" s="104"/>
      <c r="J225" s="88"/>
      <c r="K225" s="88"/>
      <c r="L225" s="88"/>
      <c r="M225" s="88"/>
      <c r="N225" s="88"/>
      <c r="O225" s="88"/>
      <c r="P225" s="88"/>
      <c r="Q225" s="88"/>
      <c r="R225" s="88"/>
      <c r="S225" s="88"/>
      <c r="T225" s="88"/>
      <c r="U225" s="88"/>
      <c r="V225" s="88"/>
      <c r="W225" s="143"/>
      <c r="X225" s="12"/>
      <c r="Y225" s="12"/>
    </row>
    <row r="226" spans="1:25" x14ac:dyDescent="0.25">
      <c r="A226" s="144"/>
      <c r="B226" s="148"/>
      <c r="C226" s="93">
        <f t="shared" si="50"/>
        <v>35</v>
      </c>
      <c r="D226" s="197">
        <f t="shared" ca="1" si="51"/>
        <v>17.232500000000041</v>
      </c>
      <c r="E226" s="197">
        <f t="shared" ca="1" si="52"/>
        <v>17.233500000000042</v>
      </c>
      <c r="F226" s="93" t="str">
        <f t="shared" ca="1" si="53"/>
        <v>17.233 to 17.234</v>
      </c>
      <c r="G226" s="97">
        <f ca="1">COUNTIF(SPC!$C$37:$BA$37,"&lt;="&amp;E226)-COUNTIF(SPC!$C$37:$BA$37,"&lt;="&amp;D226)</f>
        <v>0</v>
      </c>
      <c r="H226" s="93">
        <f t="shared" ca="1" si="49"/>
        <v>54.279100516943835</v>
      </c>
      <c r="I226" s="104"/>
      <c r="J226" s="88"/>
      <c r="K226" s="88"/>
      <c r="L226" s="88"/>
      <c r="M226" s="88"/>
      <c r="N226" s="88"/>
      <c r="O226" s="88"/>
      <c r="P226" s="88"/>
      <c r="Q226" s="88"/>
      <c r="R226" s="88"/>
      <c r="S226" s="88"/>
      <c r="T226" s="88"/>
      <c r="U226" s="88"/>
      <c r="V226" s="88"/>
      <c r="W226" s="143"/>
      <c r="X226" s="12"/>
      <c r="Y226" s="12"/>
    </row>
    <row r="227" spans="1:25" x14ac:dyDescent="0.25">
      <c r="A227" s="144"/>
      <c r="B227" s="148"/>
      <c r="C227" s="93">
        <f t="shared" si="50"/>
        <v>36</v>
      </c>
      <c r="D227" s="197">
        <f t="shared" ca="1" si="51"/>
        <v>17.233500000000042</v>
      </c>
      <c r="E227" s="197">
        <f t="shared" ca="1" si="52"/>
        <v>17.234500000000043</v>
      </c>
      <c r="F227" s="93" t="str">
        <f t="shared" ca="1" si="53"/>
        <v>17.234 to 17.235</v>
      </c>
      <c r="G227" s="97">
        <f ca="1">COUNTIF(SPC!$C$37:$BA$37,"&lt;="&amp;E227)-COUNTIF(SPC!$C$37:$BA$37,"&lt;="&amp;D227)</f>
        <v>0</v>
      </c>
      <c r="H227" s="93">
        <f t="shared" ca="1" si="49"/>
        <v>47.458787111454853</v>
      </c>
      <c r="I227" s="104"/>
      <c r="J227" s="88"/>
      <c r="K227" s="88"/>
      <c r="L227" s="88"/>
      <c r="M227" s="88"/>
      <c r="N227" s="88"/>
      <c r="O227" s="88"/>
      <c r="P227" s="88"/>
      <c r="Q227" s="88"/>
      <c r="R227" s="88"/>
      <c r="S227" s="88"/>
      <c r="T227" s="88"/>
      <c r="U227" s="88"/>
      <c r="V227" s="88"/>
      <c r="W227" s="143"/>
      <c r="X227" s="12"/>
      <c r="Y227" s="12"/>
    </row>
    <row r="228" spans="1:25" x14ac:dyDescent="0.25">
      <c r="A228" s="144"/>
      <c r="B228" s="148"/>
      <c r="C228" s="93">
        <f t="shared" si="50"/>
        <v>37</v>
      </c>
      <c r="D228" s="197">
        <f t="shared" ca="1" si="51"/>
        <v>17.234500000000043</v>
      </c>
      <c r="E228" s="197">
        <f t="shared" ca="1" si="52"/>
        <v>17.235500000000044</v>
      </c>
      <c r="F228" s="93" t="str">
        <f t="shared" ca="1" si="53"/>
        <v>17.235 to 17.236</v>
      </c>
      <c r="G228" s="97">
        <f ca="1">COUNTIF(SPC!$C$37:$BA$37,"&lt;="&amp;E228)-COUNTIF(SPC!$C$37:$BA$37,"&lt;="&amp;D228)</f>
        <v>0</v>
      </c>
      <c r="H228" s="93">
        <f t="shared" ca="1" si="49"/>
        <v>40.27555325460586</v>
      </c>
      <c r="I228" s="104"/>
      <c r="J228" s="88"/>
      <c r="K228" s="88"/>
      <c r="L228" s="88"/>
      <c r="M228" s="88"/>
      <c r="N228" s="88"/>
      <c r="O228" s="88"/>
      <c r="P228" s="88"/>
      <c r="Q228" s="88"/>
      <c r="R228" s="88"/>
      <c r="S228" s="88"/>
      <c r="T228" s="88"/>
      <c r="U228" s="88"/>
      <c r="V228" s="88"/>
      <c r="W228" s="143"/>
      <c r="X228" s="12"/>
      <c r="Y228" s="12"/>
    </row>
    <row r="229" spans="1:25" x14ac:dyDescent="0.25">
      <c r="A229" s="144"/>
      <c r="B229" s="148"/>
      <c r="C229" s="93">
        <f t="shared" si="50"/>
        <v>38</v>
      </c>
      <c r="D229" s="197">
        <f t="shared" ca="1" si="51"/>
        <v>17.235500000000044</v>
      </c>
      <c r="E229" s="197">
        <f t="shared" ca="1" si="52"/>
        <v>17.236500000000046</v>
      </c>
      <c r="F229" s="93" t="str">
        <f t="shared" ca="1" si="53"/>
        <v>17.236 to 17.237</v>
      </c>
      <c r="G229" s="97">
        <f ca="1">COUNTIF(SPC!$C$37:$BA$37,"&lt;="&amp;E229)-COUNTIF(SPC!$C$37:$BA$37,"&lt;="&amp;D229)</f>
        <v>12</v>
      </c>
      <c r="H229" s="93">
        <f t="shared" ca="1" si="49"/>
        <v>33.174721235785888</v>
      </c>
      <c r="I229" s="104"/>
      <c r="J229" s="88"/>
      <c r="K229" s="88"/>
      <c r="L229" s="88"/>
      <c r="M229" s="88"/>
      <c r="N229" s="88"/>
      <c r="O229" s="88"/>
      <c r="P229" s="88"/>
      <c r="Q229" s="88"/>
      <c r="R229" s="88"/>
      <c r="S229" s="88"/>
      <c r="T229" s="88"/>
      <c r="U229" s="88"/>
      <c r="V229" s="88"/>
      <c r="W229" s="143"/>
      <c r="X229" s="12"/>
      <c r="Y229" s="12"/>
    </row>
    <row r="230" spans="1:25" x14ac:dyDescent="0.25">
      <c r="A230" s="144"/>
      <c r="B230" s="148"/>
      <c r="C230" s="93">
        <f t="shared" si="50"/>
        <v>39</v>
      </c>
      <c r="D230" s="197">
        <f t="shared" ca="1" si="51"/>
        <v>17.236500000000046</v>
      </c>
      <c r="E230" s="197">
        <f t="shared" ca="1" si="52"/>
        <v>17.237500000000047</v>
      </c>
      <c r="F230" s="93" t="str">
        <f t="shared" ca="1" si="53"/>
        <v>17.237 to 17.238</v>
      </c>
      <c r="G230" s="97">
        <f ca="1">COUNTIF(SPC!$C$37:$BA$37,"&lt;="&amp;E230)-COUNTIF(SPC!$C$37:$BA$37,"&lt;="&amp;D230)</f>
        <v>0</v>
      </c>
      <c r="H230" s="93">
        <f t="shared" ca="1" si="49"/>
        <v>26.522468164146488</v>
      </c>
      <c r="I230" s="104"/>
      <c r="J230" s="88"/>
      <c r="K230" s="88"/>
      <c r="L230" s="88"/>
      <c r="M230" s="88"/>
      <c r="N230" s="88"/>
      <c r="O230" s="88"/>
      <c r="P230" s="88"/>
      <c r="Q230" s="88"/>
      <c r="R230" s="88"/>
      <c r="S230" s="88"/>
      <c r="T230" s="88"/>
      <c r="U230" s="88"/>
      <c r="V230" s="88"/>
      <c r="W230" s="143"/>
      <c r="X230" s="12"/>
      <c r="Y230" s="12"/>
    </row>
    <row r="231" spans="1:25" x14ac:dyDescent="0.25">
      <c r="A231" s="144"/>
      <c r="B231" s="148"/>
      <c r="C231" s="93">
        <f t="shared" si="50"/>
        <v>40</v>
      </c>
      <c r="D231" s="197">
        <f t="shared" ca="1" si="51"/>
        <v>17.237500000000047</v>
      </c>
      <c r="E231" s="197">
        <f t="shared" ca="1" si="52"/>
        <v>17.238500000000048</v>
      </c>
      <c r="F231" s="93" t="str">
        <f t="shared" ca="1" si="53"/>
        <v>17.238 to 17.239</v>
      </c>
      <c r="G231" s="97">
        <f ca="1">COUNTIF(SPC!$C$37:$BA$37,"&lt;="&amp;E231)-COUNTIF(SPC!$C$37:$BA$37,"&lt;="&amp;D231)</f>
        <v>0</v>
      </c>
      <c r="H231" s="93">
        <f t="shared" ca="1" si="49"/>
        <v>20.580763336824088</v>
      </c>
      <c r="I231" s="104"/>
      <c r="J231" s="88"/>
      <c r="K231" s="88"/>
      <c r="L231" s="88"/>
      <c r="M231" s="88"/>
      <c r="N231" s="88"/>
      <c r="O231" s="88"/>
      <c r="P231" s="88"/>
      <c r="Q231" s="88"/>
      <c r="R231" s="88"/>
      <c r="S231" s="88"/>
      <c r="T231" s="88"/>
      <c r="U231" s="88"/>
      <c r="V231" s="88"/>
      <c r="W231" s="143"/>
      <c r="X231" s="12"/>
      <c r="Y231" s="12"/>
    </row>
    <row r="232" spans="1:25" x14ac:dyDescent="0.25">
      <c r="A232" s="144"/>
      <c r="B232" s="148"/>
      <c r="C232" s="93">
        <f t="shared" si="50"/>
        <v>41</v>
      </c>
      <c r="D232" s="197">
        <f t="shared" ca="1" si="51"/>
        <v>17.238500000000048</v>
      </c>
      <c r="E232" s="197">
        <f t="shared" ca="1" si="52"/>
        <v>17.239500000000049</v>
      </c>
      <c r="F232" s="93" t="str">
        <f t="shared" ca="1" si="53"/>
        <v>17.239 to 17.240</v>
      </c>
      <c r="G232" s="97">
        <f ca="1">COUNTIF(SPC!$C$37:$BA$37,"&lt;="&amp;E232)-COUNTIF(SPC!$C$37:$BA$37,"&lt;="&amp;D232)</f>
        <v>0</v>
      </c>
      <c r="H232" s="93">
        <f t="shared" ca="1" si="49"/>
        <v>15.500649914821105</v>
      </c>
      <c r="I232" s="104"/>
      <c r="J232" s="88"/>
      <c r="K232" s="88"/>
      <c r="L232" s="88"/>
      <c r="M232" s="88"/>
      <c r="N232" s="88"/>
      <c r="O232" s="88"/>
      <c r="P232" s="88"/>
      <c r="Q232" s="88"/>
      <c r="R232" s="88"/>
      <c r="S232" s="88"/>
      <c r="T232" s="88"/>
      <c r="U232" s="88"/>
      <c r="V232" s="88"/>
      <c r="W232" s="143"/>
      <c r="X232" s="12"/>
      <c r="Y232" s="12"/>
    </row>
    <row r="233" spans="1:25" x14ac:dyDescent="0.25">
      <c r="A233" s="144"/>
      <c r="B233" s="148"/>
      <c r="C233" s="93">
        <f t="shared" si="50"/>
        <v>42</v>
      </c>
      <c r="D233" s="197">
        <f t="shared" ca="1" si="51"/>
        <v>17.239500000000049</v>
      </c>
      <c r="E233" s="197">
        <f t="shared" ca="1" si="52"/>
        <v>17.240500000000051</v>
      </c>
      <c r="F233" s="93" t="str">
        <f t="shared" ca="1" si="53"/>
        <v>17.240 to 17.241</v>
      </c>
      <c r="G233" s="97">
        <f ca="1">COUNTIF(SPC!$C$37:$BA$37,"&lt;="&amp;E233)-COUNTIF(SPC!$C$37:$BA$37,"&lt;="&amp;D233)</f>
        <v>0</v>
      </c>
      <c r="H233" s="93">
        <f t="shared" ca="1" si="49"/>
        <v>11.331286598374016</v>
      </c>
      <c r="I233" s="104"/>
      <c r="J233" s="88"/>
      <c r="K233" s="88"/>
      <c r="L233" s="88"/>
      <c r="M233" s="88"/>
      <c r="N233" s="88"/>
      <c r="O233" s="88"/>
      <c r="P233" s="88"/>
      <c r="Q233" s="88"/>
      <c r="R233" s="88"/>
      <c r="S233" s="88"/>
      <c r="T233" s="88"/>
      <c r="U233" s="88"/>
      <c r="V233" s="88"/>
      <c r="W233" s="143"/>
      <c r="X233" s="12"/>
      <c r="Y233" s="12"/>
    </row>
    <row r="234" spans="1:25" x14ac:dyDescent="0.25">
      <c r="A234" s="144"/>
      <c r="B234" s="148"/>
      <c r="C234" s="93">
        <f t="shared" si="50"/>
        <v>43</v>
      </c>
      <c r="D234" s="197">
        <f t="shared" ca="1" si="51"/>
        <v>17.240500000000051</v>
      </c>
      <c r="E234" s="197">
        <f t="shared" ca="1" si="52"/>
        <v>17.241500000000052</v>
      </c>
      <c r="F234" s="93" t="str">
        <f t="shared" ca="1" si="53"/>
        <v>17.241 to 17.242</v>
      </c>
      <c r="G234" s="97">
        <f ca="1">COUNTIF(SPC!$C$37:$BA$37,"&lt;="&amp;E234)-COUNTIF(SPC!$C$37:$BA$37,"&lt;="&amp;D234)</f>
        <v>0</v>
      </c>
      <c r="H234" s="93">
        <f t="shared" ca="1" si="49"/>
        <v>8.039877429161006</v>
      </c>
      <c r="I234" s="104"/>
      <c r="J234" s="88"/>
      <c r="K234" s="88"/>
      <c r="L234" s="88"/>
      <c r="M234" s="88"/>
      <c r="N234" s="88"/>
      <c r="O234" s="88"/>
      <c r="P234" s="88"/>
      <c r="Q234" s="88"/>
      <c r="R234" s="88"/>
      <c r="S234" s="88"/>
      <c r="T234" s="88"/>
      <c r="U234" s="88"/>
      <c r="V234" s="88"/>
      <c r="W234" s="143"/>
      <c r="X234" s="12"/>
      <c r="Y234" s="12"/>
    </row>
    <row r="235" spans="1:25" x14ac:dyDescent="0.25">
      <c r="A235" s="144"/>
      <c r="B235" s="148"/>
      <c r="C235" s="93">
        <f t="shared" si="50"/>
        <v>44</v>
      </c>
      <c r="D235" s="197">
        <f t="shared" ca="1" si="51"/>
        <v>17.241500000000052</v>
      </c>
      <c r="E235" s="197">
        <f t="shared" ca="1" si="52"/>
        <v>17.242500000000053</v>
      </c>
      <c r="F235" s="93" t="str">
        <f t="shared" ca="1" si="53"/>
        <v>17.242 to 17.243</v>
      </c>
      <c r="G235" s="97">
        <f ca="1">COUNTIF(SPC!$C$37:$BA$37,"&lt;="&amp;E235)-COUNTIF(SPC!$C$37:$BA$37,"&lt;="&amp;D235)</f>
        <v>0</v>
      </c>
      <c r="H235" s="93">
        <f t="shared" ca="1" si="49"/>
        <v>5.5368214506539681</v>
      </c>
      <c r="I235" s="104"/>
      <c r="J235" s="88"/>
      <c r="K235" s="88"/>
      <c r="L235" s="88"/>
      <c r="M235" s="88"/>
      <c r="N235" s="88"/>
      <c r="O235" s="88"/>
      <c r="P235" s="88"/>
      <c r="Q235" s="88"/>
      <c r="R235" s="88"/>
      <c r="S235" s="88"/>
      <c r="T235" s="88"/>
      <c r="U235" s="88"/>
      <c r="V235" s="88"/>
      <c r="W235" s="143"/>
      <c r="X235" s="12"/>
      <c r="Y235" s="12"/>
    </row>
    <row r="236" spans="1:25" x14ac:dyDescent="0.25">
      <c r="A236" s="144"/>
      <c r="B236" s="148"/>
      <c r="C236" s="93">
        <f t="shared" si="50"/>
        <v>45</v>
      </c>
      <c r="D236" s="197">
        <f t="shared" ca="1" si="51"/>
        <v>17.242500000000053</v>
      </c>
      <c r="E236" s="197">
        <f t="shared" ca="1" si="52"/>
        <v>17.243500000000054</v>
      </c>
      <c r="F236" s="93" t="str">
        <f t="shared" ca="1" si="53"/>
        <v>17.243 to 17.244</v>
      </c>
      <c r="G236" s="97">
        <f ca="1">COUNTIF(SPC!$C$37:$BA$37,"&lt;="&amp;E236)-COUNTIF(SPC!$C$37:$BA$37,"&lt;="&amp;D236)</f>
        <v>0</v>
      </c>
      <c r="H236" s="93">
        <f t="shared" ca="1" si="49"/>
        <v>3.7009438575278852</v>
      </c>
      <c r="I236" s="104"/>
      <c r="J236" s="88"/>
      <c r="K236" s="88"/>
      <c r="L236" s="88"/>
      <c r="M236" s="88"/>
      <c r="N236" s="88"/>
      <c r="O236" s="88"/>
      <c r="P236" s="88"/>
      <c r="Q236" s="88"/>
      <c r="R236" s="88"/>
      <c r="S236" s="88"/>
      <c r="T236" s="88"/>
      <c r="U236" s="88"/>
      <c r="V236" s="88"/>
      <c r="W236" s="143"/>
      <c r="X236" s="12"/>
      <c r="Y236" s="12"/>
    </row>
    <row r="237" spans="1:25" x14ac:dyDescent="0.25">
      <c r="A237" s="144"/>
      <c r="B237" s="148"/>
      <c r="C237" s="93">
        <f t="shared" si="50"/>
        <v>46</v>
      </c>
      <c r="D237" s="197">
        <f t="shared" ca="1" si="51"/>
        <v>17.243500000000054</v>
      </c>
      <c r="E237" s="197">
        <f t="shared" ca="1" si="52"/>
        <v>17.244500000000055</v>
      </c>
      <c r="F237" s="93" t="str">
        <f t="shared" ca="1" si="53"/>
        <v>17.244 to 17.245</v>
      </c>
      <c r="G237" s="97">
        <f ca="1">COUNTIF(SPC!$C$37:$BA$37,"&lt;="&amp;E237)-COUNTIF(SPC!$C$37:$BA$37,"&lt;="&amp;D237)</f>
        <v>0</v>
      </c>
      <c r="H237" s="93">
        <f t="shared" ca="1" si="49"/>
        <v>2.4010729908996877</v>
      </c>
      <c r="I237" s="104"/>
      <c r="J237" s="88"/>
      <c r="K237" s="88"/>
      <c r="L237" s="88"/>
      <c r="M237" s="88"/>
      <c r="N237" s="88"/>
      <c r="O237" s="88"/>
      <c r="P237" s="88"/>
      <c r="Q237" s="88"/>
      <c r="R237" s="88"/>
      <c r="S237" s="88"/>
      <c r="T237" s="88"/>
      <c r="U237" s="88"/>
      <c r="V237" s="88"/>
      <c r="W237" s="143"/>
      <c r="X237" s="12"/>
      <c r="Y237" s="12"/>
    </row>
    <row r="238" spans="1:25" x14ac:dyDescent="0.25">
      <c r="A238" s="144"/>
      <c r="B238" s="148"/>
      <c r="C238" s="93">
        <f t="shared" si="50"/>
        <v>47</v>
      </c>
      <c r="D238" s="197">
        <f t="shared" ca="1" si="51"/>
        <v>17.244500000000055</v>
      </c>
      <c r="E238" s="197">
        <f t="shared" ca="1" si="52"/>
        <v>17.245500000000057</v>
      </c>
      <c r="F238" s="93" t="str">
        <f t="shared" ca="1" si="53"/>
        <v>17.245 to 17.246</v>
      </c>
      <c r="G238" s="97">
        <f ca="1">COUNTIF(SPC!$C$37:$BA$37,"&lt;="&amp;E238)-COUNTIF(SPC!$C$37:$BA$37,"&lt;="&amp;D238)</f>
        <v>0</v>
      </c>
      <c r="H238" s="93">
        <f t="shared" ca="1" si="49"/>
        <v>1.5119558694266133</v>
      </c>
      <c r="I238" s="104"/>
      <c r="J238" s="88"/>
      <c r="K238" s="88"/>
      <c r="L238" s="88"/>
      <c r="M238" s="88"/>
      <c r="N238" s="88"/>
      <c r="O238" s="88"/>
      <c r="P238" s="88"/>
      <c r="Q238" s="88"/>
      <c r="R238" s="88"/>
      <c r="S238" s="88"/>
      <c r="T238" s="88"/>
      <c r="U238" s="88"/>
      <c r="V238" s="88"/>
      <c r="W238" s="143"/>
      <c r="X238" s="12"/>
      <c r="Y238" s="12"/>
    </row>
    <row r="239" spans="1:25" x14ac:dyDescent="0.25">
      <c r="A239" s="144"/>
      <c r="B239" s="148"/>
      <c r="C239" s="93">
        <f t="shared" si="50"/>
        <v>48</v>
      </c>
      <c r="D239" s="197">
        <f t="shared" ca="1" si="51"/>
        <v>17.245500000000057</v>
      </c>
      <c r="E239" s="197">
        <f t="shared" ca="1" si="52"/>
        <v>17.246500000000058</v>
      </c>
      <c r="F239" s="93" t="str">
        <f t="shared" ca="1" si="53"/>
        <v>17.246 to 17.247</v>
      </c>
      <c r="G239" s="97">
        <f ca="1">COUNTIF(SPC!$C$37:$BA$37,"&lt;="&amp;E239)-COUNTIF(SPC!$C$37:$BA$37,"&lt;="&amp;D239)</f>
        <v>0</v>
      </c>
      <c r="H239" s="93">
        <f t="shared" ca="1" si="49"/>
        <v>0.9240889036737886</v>
      </c>
      <c r="I239" s="104"/>
      <c r="J239" s="88"/>
      <c r="K239" s="88"/>
      <c r="L239" s="88"/>
      <c r="M239" s="88"/>
      <c r="N239" s="88"/>
      <c r="O239" s="88"/>
      <c r="P239" s="88"/>
      <c r="Q239" s="88"/>
      <c r="R239" s="88"/>
      <c r="S239" s="88"/>
      <c r="T239" s="88"/>
      <c r="U239" s="88"/>
      <c r="V239" s="88"/>
      <c r="W239" s="143"/>
      <c r="X239" s="12"/>
      <c r="Y239" s="12"/>
    </row>
    <row r="240" spans="1:25" x14ac:dyDescent="0.25">
      <c r="A240" s="144"/>
      <c r="B240" s="148"/>
      <c r="C240" s="93">
        <f t="shared" si="50"/>
        <v>49</v>
      </c>
      <c r="D240" s="197">
        <f t="shared" ca="1" si="51"/>
        <v>17.246500000000058</v>
      </c>
      <c r="E240" s="197">
        <f t="shared" ca="1" si="52"/>
        <v>17.247500000000059</v>
      </c>
      <c r="F240" s="93" t="str">
        <f t="shared" ca="1" si="53"/>
        <v>17.247 to 17.248</v>
      </c>
      <c r="G240" s="97">
        <f ca="1">COUNTIF(SPC!$C$37:$BA$37,"&lt;="&amp;E240)-COUNTIF(SPC!$C$37:$BA$37,"&lt;="&amp;D240)</f>
        <v>0</v>
      </c>
      <c r="H240" s="93">
        <f t="shared" ca="1" si="49"/>
        <v>0.54818769477337526</v>
      </c>
      <c r="I240" s="104"/>
      <c r="J240" s="88"/>
      <c r="K240" s="88"/>
      <c r="L240" s="88"/>
      <c r="M240" s="88"/>
      <c r="N240" s="88"/>
      <c r="O240" s="88"/>
      <c r="P240" s="88"/>
      <c r="Q240" s="88"/>
      <c r="R240" s="88"/>
      <c r="S240" s="88"/>
      <c r="T240" s="88"/>
      <c r="U240" s="88"/>
      <c r="V240" s="88"/>
      <c r="W240" s="143"/>
      <c r="X240" s="12"/>
      <c r="Y240" s="12"/>
    </row>
    <row r="241" spans="1:25" x14ac:dyDescent="0.25">
      <c r="A241" s="144"/>
      <c r="B241" s="148"/>
      <c r="C241" s="93">
        <f t="shared" si="50"/>
        <v>50</v>
      </c>
      <c r="D241" s="197">
        <f t="shared" ca="1" si="51"/>
        <v>17.247500000000059</v>
      </c>
      <c r="E241" s="197">
        <f t="shared" ca="1" si="52"/>
        <v>17.24850000000006</v>
      </c>
      <c r="F241" s="93" t="str">
        <f t="shared" ca="1" si="53"/>
        <v>17.248 to 17.249</v>
      </c>
      <c r="G241" s="97">
        <f ca="1">COUNTIF(SPC!$C$37:$BA$37,"&lt;="&amp;E241)-COUNTIF(SPC!$C$37:$BA$37,"&lt;="&amp;D241)</f>
        <v>0</v>
      </c>
      <c r="H241" s="93">
        <f t="shared" ca="1" si="49"/>
        <v>0.31563539405424995</v>
      </c>
      <c r="I241" s="104"/>
      <c r="J241" s="88"/>
      <c r="K241" s="88"/>
      <c r="L241" s="88"/>
      <c r="M241" s="88"/>
      <c r="N241" s="88"/>
      <c r="O241" s="88"/>
      <c r="P241" s="88"/>
      <c r="Q241" s="88"/>
      <c r="R241" s="88"/>
      <c r="S241" s="88"/>
      <c r="T241" s="88"/>
      <c r="U241" s="88"/>
      <c r="V241" s="88"/>
      <c r="W241" s="143"/>
      <c r="X241" s="12"/>
      <c r="Y241" s="12"/>
    </row>
    <row r="242" spans="1:25" x14ac:dyDescent="0.25">
      <c r="A242" s="144"/>
      <c r="B242" s="148"/>
      <c r="C242" s="93">
        <f t="shared" si="50"/>
        <v>51</v>
      </c>
      <c r="D242" s="197">
        <f t="shared" ca="1" si="51"/>
        <v>17.24850000000006</v>
      </c>
      <c r="E242" s="197">
        <f t="shared" ca="1" si="52"/>
        <v>17.249500000000062</v>
      </c>
      <c r="F242" s="93" t="str">
        <f t="shared" ca="1" si="53"/>
        <v>17.249 to 17.250</v>
      </c>
      <c r="G242" s="97">
        <f ca="1">COUNTIF(SPC!$C$37:$BA$37,"&lt;="&amp;E242)-COUNTIF(SPC!$C$37:$BA$37,"&lt;="&amp;D242)</f>
        <v>0</v>
      </c>
      <c r="H242" s="93">
        <f t="shared" ca="1" si="49"/>
        <v>0.17639367122120206</v>
      </c>
      <c r="I242" s="104"/>
      <c r="J242" s="88"/>
      <c r="K242" s="88"/>
      <c r="L242" s="88"/>
      <c r="M242" s="88"/>
      <c r="N242" s="88"/>
      <c r="O242" s="88"/>
      <c r="P242" s="88"/>
      <c r="Q242" s="88"/>
      <c r="R242" s="88"/>
      <c r="S242" s="88"/>
      <c r="T242" s="88"/>
      <c r="U242" s="88"/>
      <c r="V242" s="88"/>
      <c r="W242" s="143"/>
      <c r="X242" s="12"/>
      <c r="Y242" s="12"/>
    </row>
    <row r="243" spans="1:25" x14ac:dyDescent="0.25">
      <c r="A243" s="144"/>
      <c r="B243" s="148"/>
      <c r="C243" s="93">
        <f t="shared" si="50"/>
        <v>52</v>
      </c>
      <c r="D243" s="197">
        <f t="shared" ca="1" si="51"/>
        <v>17.249500000000062</v>
      </c>
      <c r="E243" s="197">
        <f t="shared" ca="1" si="52"/>
        <v>17.250500000000063</v>
      </c>
      <c r="F243" s="93" t="str">
        <f t="shared" ca="1" si="53"/>
        <v>17.250 to 17.251</v>
      </c>
      <c r="G243" s="97">
        <f ca="1">COUNTIF(SPC!$C$37:$BA$37,"&lt;="&amp;E243)-COUNTIF(SPC!$C$37:$BA$37,"&lt;="&amp;D243)</f>
        <v>0</v>
      </c>
      <c r="H243" s="93">
        <f t="shared" ca="1" si="49"/>
        <v>9.5680004771646288E-2</v>
      </c>
      <c r="I243" s="104"/>
      <c r="J243" s="88"/>
      <c r="K243" s="88"/>
      <c r="L243" s="88"/>
      <c r="M243" s="88"/>
      <c r="N243" s="88"/>
      <c r="O243" s="88"/>
      <c r="P243" s="88"/>
      <c r="Q243" s="88"/>
      <c r="R243" s="88"/>
      <c r="S243" s="88"/>
      <c r="T243" s="88"/>
      <c r="U243" s="88"/>
      <c r="V243" s="88"/>
      <c r="W243" s="143"/>
      <c r="X243" s="12"/>
      <c r="Y243" s="12"/>
    </row>
    <row r="244" spans="1:25" x14ac:dyDescent="0.25">
      <c r="A244" s="144"/>
      <c r="B244" s="148"/>
      <c r="C244" s="93">
        <f t="shared" si="50"/>
        <v>53</v>
      </c>
      <c r="D244" s="197">
        <f t="shared" ca="1" si="51"/>
        <v>17.250500000000063</v>
      </c>
      <c r="E244" s="197">
        <f t="shared" ca="1" si="52"/>
        <v>17.251500000000064</v>
      </c>
      <c r="F244" s="93" t="str">
        <f t="shared" ca="1" si="53"/>
        <v>17.251 to 17.252</v>
      </c>
      <c r="G244" s="97">
        <f ca="1">COUNTIF(SPC!$C$37:$BA$37,"&lt;="&amp;E244)-COUNTIF(SPC!$C$37:$BA$37,"&lt;="&amp;D244)</f>
        <v>0</v>
      </c>
      <c r="H244" s="93">
        <f t="shared" ca="1" si="49"/>
        <v>5.0373283984927367E-2</v>
      </c>
      <c r="I244" s="104"/>
      <c r="J244" s="88"/>
      <c r="K244" s="88"/>
      <c r="L244" s="88"/>
      <c r="M244" s="88"/>
      <c r="N244" s="88"/>
      <c r="O244" s="88"/>
      <c r="P244" s="88"/>
      <c r="Q244" s="88"/>
      <c r="R244" s="88"/>
      <c r="S244" s="88"/>
      <c r="T244" s="88"/>
      <c r="U244" s="88"/>
      <c r="V244" s="88"/>
      <c r="W244" s="143"/>
      <c r="X244" s="12"/>
      <c r="Y244" s="12"/>
    </row>
    <row r="245" spans="1:25" x14ac:dyDescent="0.25">
      <c r="A245" s="144"/>
      <c r="B245" s="148"/>
      <c r="C245" s="93">
        <f t="shared" si="50"/>
        <v>54</v>
      </c>
      <c r="D245" s="197">
        <f t="shared" ca="1" si="51"/>
        <v>17.251500000000064</v>
      </c>
      <c r="E245" s="197">
        <f t="shared" ca="1" si="52"/>
        <v>17.252500000000065</v>
      </c>
      <c r="F245" s="93" t="str">
        <f t="shared" ca="1" si="53"/>
        <v>17.252 to 17.253</v>
      </c>
      <c r="G245" s="97">
        <f ca="1">COUNTIF(SPC!$C$37:$BA$37,"&lt;="&amp;E245)-COUNTIF(SPC!$C$37:$BA$37,"&lt;="&amp;D245)</f>
        <v>0</v>
      </c>
      <c r="H245" s="93">
        <f t="shared" ca="1" si="49"/>
        <v>2.574069261421039E-2</v>
      </c>
      <c r="I245" s="104"/>
      <c r="J245" s="88"/>
      <c r="K245" s="88"/>
      <c r="L245" s="88"/>
      <c r="M245" s="88"/>
      <c r="N245" s="88"/>
      <c r="O245" s="88"/>
      <c r="P245" s="88"/>
      <c r="Q245" s="88"/>
      <c r="R245" s="88"/>
      <c r="S245" s="88"/>
      <c r="T245" s="88"/>
      <c r="U245" s="88"/>
      <c r="V245" s="88"/>
      <c r="W245" s="143"/>
      <c r="X245" s="12"/>
      <c r="Y245" s="12"/>
    </row>
    <row r="246" spans="1:25" x14ac:dyDescent="0.25">
      <c r="A246" s="144"/>
      <c r="B246" s="148"/>
      <c r="C246" s="93">
        <f t="shared" si="50"/>
        <v>55</v>
      </c>
      <c r="D246" s="197">
        <f t="shared" ca="1" si="51"/>
        <v>17.252500000000065</v>
      </c>
      <c r="E246" s="197">
        <f t="shared" ca="1" si="52"/>
        <v>17.253500000000066</v>
      </c>
      <c r="F246" s="93" t="str">
        <f t="shared" ca="1" si="53"/>
        <v>17.253 to 17.254</v>
      </c>
      <c r="G246" s="97">
        <f ca="1">COUNTIF(SPC!$C$37:$BA$37,"&lt;="&amp;E246)-COUNTIF(SPC!$C$37:$BA$37,"&lt;="&amp;D246)</f>
        <v>0</v>
      </c>
      <c r="H246" s="93">
        <f t="shared" ca="1" si="49"/>
        <v>1.2766771323389228E-2</v>
      </c>
      <c r="I246" s="104"/>
      <c r="J246" s="88"/>
      <c r="K246" s="88"/>
      <c r="L246" s="88"/>
      <c r="M246" s="88"/>
      <c r="N246" s="88"/>
      <c r="O246" s="88"/>
      <c r="P246" s="88"/>
      <c r="Q246" s="88"/>
      <c r="R246" s="88"/>
      <c r="S246" s="88"/>
      <c r="T246" s="88"/>
      <c r="U246" s="88"/>
      <c r="V246" s="88"/>
      <c r="W246" s="143"/>
      <c r="X246" s="12"/>
      <c r="Y246" s="12"/>
    </row>
    <row r="247" spans="1:25" x14ac:dyDescent="0.25">
      <c r="A247" s="144"/>
      <c r="B247" s="148"/>
      <c r="C247" s="93">
        <f t="shared" si="50"/>
        <v>56</v>
      </c>
      <c r="D247" s="197">
        <f t="shared" ca="1" si="51"/>
        <v>17.253500000000066</v>
      </c>
      <c r="E247" s="197">
        <f t="shared" ca="1" si="52"/>
        <v>17.254500000000068</v>
      </c>
      <c r="F247" s="93" t="str">
        <f t="shared" ca="1" si="53"/>
        <v>17.254 to 17.255</v>
      </c>
      <c r="G247" s="97">
        <f ca="1">COUNTIF(SPC!$C$37:$BA$37,"&lt;="&amp;E247)-COUNTIF(SPC!$C$37:$BA$37,"&lt;="&amp;D247)</f>
        <v>0</v>
      </c>
      <c r="H247" s="93">
        <f t="shared" ca="1" si="49"/>
        <v>6.1458621891644482E-3</v>
      </c>
      <c r="I247" s="104"/>
      <c r="J247" s="88"/>
      <c r="K247" s="88"/>
      <c r="L247" s="88"/>
      <c r="M247" s="88"/>
      <c r="N247" s="88"/>
      <c r="O247" s="88"/>
      <c r="P247" s="88"/>
      <c r="Q247" s="88"/>
      <c r="R247" s="88"/>
      <c r="S247" s="88"/>
      <c r="T247" s="88"/>
      <c r="U247" s="88"/>
      <c r="V247" s="88"/>
      <c r="W247" s="143"/>
      <c r="X247" s="12"/>
      <c r="Y247" s="12"/>
    </row>
    <row r="248" spans="1:25" x14ac:dyDescent="0.25">
      <c r="A248" s="144"/>
      <c r="B248" s="148"/>
      <c r="C248" s="93">
        <f t="shared" si="50"/>
        <v>57</v>
      </c>
      <c r="D248" s="197">
        <f t="shared" ca="1" si="51"/>
        <v>17.254500000000068</v>
      </c>
      <c r="E248" s="197">
        <f t="shared" ca="1" si="52"/>
        <v>17.255500000000069</v>
      </c>
      <c r="F248" s="93" t="str">
        <f t="shared" ca="1" si="53"/>
        <v>17.255 to 17.256</v>
      </c>
      <c r="G248" s="97">
        <f ca="1">COUNTIF(SPC!$C$37:$BA$37,"&lt;="&amp;E248)-COUNTIF(SPC!$C$37:$BA$37,"&lt;="&amp;D248)</f>
        <v>0</v>
      </c>
      <c r="H248" s="93">
        <f t="shared" ca="1" si="49"/>
        <v>2.8716099087034031E-3</v>
      </c>
      <c r="I248" s="104"/>
      <c r="J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143"/>
      <c r="X248" s="12"/>
      <c r="Y248" s="12"/>
    </row>
    <row r="249" spans="1:25" x14ac:dyDescent="0.25">
      <c r="A249" s="144"/>
      <c r="B249" s="148"/>
      <c r="C249" s="93">
        <f t="shared" si="50"/>
        <v>58</v>
      </c>
      <c r="D249" s="197">
        <f t="shared" ca="1" si="51"/>
        <v>17.255500000000069</v>
      </c>
      <c r="E249" s="197">
        <f t="shared" ca="1" si="52"/>
        <v>17.25650000000007</v>
      </c>
      <c r="F249" s="93" t="str">
        <f t="shared" ca="1" si="53"/>
        <v>17.256 to 17.257</v>
      </c>
      <c r="G249" s="97">
        <f ca="1">COUNTIF(SPC!$C$37:$BA$37,"&lt;="&amp;E249)-COUNTIF(SPC!$C$37:$BA$37,"&lt;="&amp;D249)</f>
        <v>0</v>
      </c>
      <c r="H249" s="93">
        <f t="shared" ca="1" si="49"/>
        <v>1.302293749265283E-3</v>
      </c>
      <c r="I249" s="104"/>
      <c r="J249" s="88"/>
      <c r="K249" s="88"/>
      <c r="L249" s="88"/>
      <c r="M249" s="88"/>
      <c r="N249" s="88"/>
      <c r="O249" s="88"/>
      <c r="P249" s="88"/>
      <c r="Q249" s="88"/>
      <c r="R249" s="88"/>
      <c r="S249" s="88"/>
      <c r="T249" s="88"/>
      <c r="U249" s="88"/>
      <c r="V249" s="88"/>
      <c r="W249" s="143"/>
      <c r="X249" s="12"/>
      <c r="Y249" s="12"/>
    </row>
    <row r="250" spans="1:25" x14ac:dyDescent="0.25">
      <c r="A250" s="144"/>
      <c r="B250" s="148"/>
      <c r="C250" s="93">
        <f t="shared" si="50"/>
        <v>59</v>
      </c>
      <c r="D250" s="197">
        <f t="shared" ca="1" si="51"/>
        <v>17.25650000000007</v>
      </c>
      <c r="E250" s="197">
        <f t="shared" ca="1" si="52"/>
        <v>17.257500000000071</v>
      </c>
      <c r="F250" s="93" t="str">
        <f t="shared" ca="1" si="53"/>
        <v>17.257 to 17.258</v>
      </c>
      <c r="G250" s="97">
        <f ca="1">COUNTIF(SPC!$C$37:$BA$37,"&lt;="&amp;E250)-COUNTIF(SPC!$C$37:$BA$37,"&lt;="&amp;D250)</f>
        <v>0</v>
      </c>
      <c r="H250" s="93">
        <f t="shared" ca="1" si="49"/>
        <v>5.7323586703691824E-4</v>
      </c>
      <c r="I250" s="104"/>
      <c r="J250" s="88"/>
      <c r="K250" s="88"/>
      <c r="L250" s="88"/>
      <c r="M250" s="88"/>
      <c r="N250" s="88"/>
      <c r="O250" s="88"/>
      <c r="P250" s="88"/>
      <c r="Q250" s="88"/>
      <c r="R250" s="88"/>
      <c r="S250" s="88"/>
      <c r="T250" s="88"/>
      <c r="U250" s="88"/>
      <c r="V250" s="88"/>
      <c r="W250" s="143"/>
      <c r="X250" s="12"/>
      <c r="Y250" s="12"/>
    </row>
    <row r="251" spans="1:25" x14ac:dyDescent="0.25">
      <c r="A251" s="144"/>
      <c r="B251" s="148"/>
      <c r="C251" s="93">
        <f t="shared" si="50"/>
        <v>60</v>
      </c>
      <c r="D251" s="197">
        <f t="shared" ca="1" si="51"/>
        <v>17.257500000000071</v>
      </c>
      <c r="E251" s="197">
        <f t="shared" ca="1" si="52"/>
        <v>17.258500000000073</v>
      </c>
      <c r="F251" s="93" t="str">
        <f t="shared" ca="1" si="53"/>
        <v>17.258 to 17.259</v>
      </c>
      <c r="G251" s="97">
        <f ca="1">COUNTIF(SPC!$C$37:$BA$37,"&lt;="&amp;E251)-COUNTIF(SPC!$C$37:$BA$37,"&lt;="&amp;D251)</f>
        <v>0</v>
      </c>
      <c r="H251" s="93">
        <f t="shared" ca="1" si="49"/>
        <v>2.4490555922913399E-4</v>
      </c>
      <c r="I251" s="104"/>
      <c r="J251" s="88"/>
      <c r="K251" s="88"/>
      <c r="L251" s="88"/>
      <c r="M251" s="88"/>
      <c r="N251" s="88"/>
      <c r="O251" s="88"/>
      <c r="P251" s="88"/>
      <c r="Q251" s="88"/>
      <c r="R251" s="88"/>
      <c r="S251" s="88"/>
      <c r="T251" s="88"/>
      <c r="U251" s="88"/>
      <c r="V251" s="88"/>
      <c r="W251" s="143"/>
      <c r="X251" s="12"/>
      <c r="Y251" s="12"/>
    </row>
    <row r="252" spans="1:25" x14ac:dyDescent="0.25">
      <c r="A252" s="144"/>
      <c r="B252" s="148"/>
      <c r="C252" s="93">
        <f t="shared" si="50"/>
        <v>61</v>
      </c>
      <c r="D252" s="197">
        <f t="shared" ca="1" si="51"/>
        <v>17.258500000000073</v>
      </c>
      <c r="E252" s="197">
        <f t="shared" ca="1" si="52"/>
        <v>17.259500000000074</v>
      </c>
      <c r="F252" s="93" t="str">
        <f t="shared" ca="1" si="53"/>
        <v>17.259 to 17.260</v>
      </c>
      <c r="G252" s="97">
        <f ca="1">COUNTIF(SPC!$C$37:$BA$37,"&lt;="&amp;E252)-COUNTIF(SPC!$C$37:$BA$37,"&lt;="&amp;D252)</f>
        <v>0</v>
      </c>
      <c r="H252" s="93">
        <f t="shared" ca="1" si="49"/>
        <v>1.015558202261784E-4</v>
      </c>
      <c r="I252" s="104"/>
      <c r="J252" s="88"/>
      <c r="K252" s="88"/>
      <c r="L252" s="88"/>
      <c r="M252" s="88"/>
      <c r="N252" s="88"/>
      <c r="O252" s="88"/>
      <c r="P252" s="88"/>
      <c r="Q252" s="88"/>
      <c r="R252" s="88"/>
      <c r="S252" s="88"/>
      <c r="T252" s="88"/>
      <c r="U252" s="88"/>
      <c r="V252" s="88"/>
      <c r="W252" s="143"/>
      <c r="X252" s="12"/>
      <c r="Y252" s="12"/>
    </row>
    <row r="253" spans="1:25" x14ac:dyDescent="0.25">
      <c r="A253" s="144"/>
      <c r="B253" s="148"/>
      <c r="C253" s="93">
        <f t="shared" si="50"/>
        <v>62</v>
      </c>
      <c r="D253" s="197">
        <f t="shared" ca="1" si="51"/>
        <v>17.259500000000074</v>
      </c>
      <c r="E253" s="197">
        <f t="shared" ca="1" si="52"/>
        <v>17.260500000000075</v>
      </c>
      <c r="F253" s="93" t="str">
        <f t="shared" ca="1" si="53"/>
        <v>17.260 to 17.261</v>
      </c>
      <c r="G253" s="97">
        <f ca="1">COUNTIF(SPC!$C$37:$BA$37,"&lt;="&amp;E253)-COUNTIF(SPC!$C$37:$BA$37,"&lt;="&amp;D253)</f>
        <v>0</v>
      </c>
      <c r="H253" s="93">
        <f t="shared" ca="1" si="49"/>
        <v>4.087444606042267E-5</v>
      </c>
      <c r="I253" s="104"/>
      <c r="J253" s="88"/>
      <c r="K253" s="88"/>
      <c r="L253" s="88"/>
      <c r="M253" s="88"/>
      <c r="N253" s="88"/>
      <c r="O253" s="88"/>
      <c r="P253" s="88"/>
      <c r="Q253" s="88"/>
      <c r="R253" s="88"/>
      <c r="S253" s="88"/>
      <c r="T253" s="88"/>
      <c r="U253" s="88"/>
      <c r="V253" s="88"/>
      <c r="W253" s="143"/>
      <c r="X253" s="12"/>
      <c r="Y253" s="12"/>
    </row>
    <row r="254" spans="1:25" x14ac:dyDescent="0.25">
      <c r="A254" s="144"/>
      <c r="B254" s="148"/>
      <c r="C254" s="93">
        <f t="shared" si="50"/>
        <v>63</v>
      </c>
      <c r="D254" s="197">
        <f t="shared" ca="1" si="51"/>
        <v>17.260500000000075</v>
      </c>
      <c r="E254" s="197">
        <f t="shared" ca="1" si="52"/>
        <v>17.261500000000076</v>
      </c>
      <c r="F254" s="93" t="str">
        <f t="shared" ca="1" si="53"/>
        <v>17.261 to 17.262</v>
      </c>
      <c r="G254" s="97">
        <f ca="1">COUNTIF(SPC!$C$37:$BA$37,"&lt;="&amp;E254)-COUNTIF(SPC!$C$37:$BA$37,"&lt;="&amp;D254)</f>
        <v>0</v>
      </c>
      <c r="H254" s="93">
        <f t="shared" ca="1" si="49"/>
        <v>1.5967606785672043E-5</v>
      </c>
      <c r="I254" s="104"/>
      <c r="J254" s="88"/>
      <c r="K254" s="88"/>
      <c r="L254" s="88"/>
      <c r="M254" s="88"/>
      <c r="N254" s="88"/>
      <c r="O254" s="88"/>
      <c r="P254" s="88"/>
      <c r="Q254" s="88"/>
      <c r="R254" s="88"/>
      <c r="S254" s="88"/>
      <c r="T254" s="88"/>
      <c r="U254" s="88"/>
      <c r="V254" s="88"/>
      <c r="W254" s="143"/>
      <c r="X254" s="12"/>
      <c r="Y254" s="12"/>
    </row>
    <row r="255" spans="1:25" x14ac:dyDescent="0.25">
      <c r="A255" s="144"/>
      <c r="B255" s="148"/>
      <c r="C255" s="93">
        <f t="shared" si="50"/>
        <v>64</v>
      </c>
      <c r="D255" s="197">
        <f t="shared" ca="1" si="51"/>
        <v>17.261500000000076</v>
      </c>
      <c r="E255" s="197">
        <f t="shared" ca="1" si="52"/>
        <v>17.262500000000077</v>
      </c>
      <c r="F255" s="93" t="str">
        <f t="shared" ca="1" si="53"/>
        <v>17.262 to 17.263</v>
      </c>
      <c r="G255" s="97">
        <f ca="1">COUNTIF(SPC!$C$37:$BA$37,"&lt;="&amp;E255)-COUNTIF(SPC!$C$37:$BA$37,"&lt;="&amp;D255)</f>
        <v>0</v>
      </c>
      <c r="H255" s="93">
        <f t="shared" ref="H255:H286" ca="1" si="54">IF(G$181&lt;&gt;0,NORMDIST(D$189+C255*D$188-D$188/2,D$182,G$181,FALSE),D255)</f>
        <v>6.054365919501195E-6</v>
      </c>
      <c r="I255" s="104"/>
      <c r="J255" s="88"/>
      <c r="K255" s="88"/>
      <c r="L255" s="88"/>
      <c r="M255" s="88"/>
      <c r="N255" s="88"/>
      <c r="O255" s="88"/>
      <c r="P255" s="88"/>
      <c r="Q255" s="88"/>
      <c r="R255" s="88"/>
      <c r="S255" s="88"/>
      <c r="T255" s="88"/>
      <c r="U255" s="88"/>
      <c r="V255" s="88"/>
      <c r="W255" s="143"/>
      <c r="X255" s="12"/>
      <c r="Y255" s="12"/>
    </row>
    <row r="256" spans="1:25" x14ac:dyDescent="0.25">
      <c r="A256" s="144"/>
      <c r="B256" s="148"/>
      <c r="C256" s="93">
        <f t="shared" ref="C256:C287" si="55">C255+1</f>
        <v>65</v>
      </c>
      <c r="D256" s="197">
        <f t="shared" ref="D256:D287" ca="1" si="56">E255</f>
        <v>17.262500000000077</v>
      </c>
      <c r="E256" s="197">
        <f t="shared" ref="E256:E287" ca="1" si="57">D256+$D$188</f>
        <v>17.263500000000079</v>
      </c>
      <c r="F256" s="93" t="str">
        <f t="shared" ref="F256:F287" ca="1" si="58">FIXED(D256,$E$180)&amp;" to "&amp;FIXED(E256,$E$180)</f>
        <v>17.263 to 17.264</v>
      </c>
      <c r="G256" s="97">
        <f ca="1">COUNTIF(SPC!$C$37:$BA$37,"&lt;="&amp;E256)-COUNTIF(SPC!$C$37:$BA$37,"&lt;="&amp;D256)</f>
        <v>0</v>
      </c>
      <c r="H256" s="93">
        <f t="shared" ca="1" si="54"/>
        <v>2.2281190380549417E-6</v>
      </c>
      <c r="I256" s="104"/>
      <c r="J256" s="88"/>
      <c r="K256" s="88"/>
      <c r="L256" s="88"/>
      <c r="M256" s="88"/>
      <c r="N256" s="88"/>
      <c r="O256" s="88"/>
      <c r="P256" s="88"/>
      <c r="Q256" s="88"/>
      <c r="R256" s="88"/>
      <c r="S256" s="88"/>
      <c r="T256" s="88"/>
      <c r="U256" s="88"/>
      <c r="V256" s="88"/>
      <c r="W256" s="143"/>
      <c r="X256" s="12"/>
      <c r="Y256" s="12"/>
    </row>
    <row r="257" spans="1:25" x14ac:dyDescent="0.25">
      <c r="A257" s="144"/>
      <c r="B257" s="148"/>
      <c r="C257" s="93">
        <f t="shared" si="55"/>
        <v>66</v>
      </c>
      <c r="D257" s="197">
        <f t="shared" ca="1" si="56"/>
        <v>17.263500000000079</v>
      </c>
      <c r="E257" s="197">
        <f t="shared" ca="1" si="57"/>
        <v>17.26450000000008</v>
      </c>
      <c r="F257" s="93" t="str">
        <f t="shared" ca="1" si="58"/>
        <v>17.264 to 17.265</v>
      </c>
      <c r="G257" s="97">
        <f ca="1">COUNTIF(SPC!$C$37:$BA$37,"&lt;="&amp;E257)-COUNTIF(SPC!$C$37:$BA$37,"&lt;="&amp;D257)</f>
        <v>0</v>
      </c>
      <c r="H257" s="93">
        <f t="shared" ca="1" si="54"/>
        <v>7.9588258249408035E-7</v>
      </c>
      <c r="I257" s="104"/>
      <c r="J257" s="88"/>
      <c r="K257" s="88"/>
      <c r="L257" s="88"/>
      <c r="M257" s="88"/>
      <c r="N257" s="88"/>
      <c r="O257" s="88"/>
      <c r="P257" s="88"/>
      <c r="Q257" s="88"/>
      <c r="R257" s="88"/>
      <c r="S257" s="88"/>
      <c r="T257" s="88"/>
      <c r="U257" s="88"/>
      <c r="V257" s="88"/>
      <c r="W257" s="143"/>
      <c r="X257" s="12"/>
      <c r="Y257" s="12"/>
    </row>
    <row r="258" spans="1:25" x14ac:dyDescent="0.25">
      <c r="A258" s="144"/>
      <c r="B258" s="148"/>
      <c r="C258" s="93">
        <f t="shared" si="55"/>
        <v>67</v>
      </c>
      <c r="D258" s="197">
        <f t="shared" ca="1" si="56"/>
        <v>17.26450000000008</v>
      </c>
      <c r="E258" s="197">
        <f t="shared" ca="1" si="57"/>
        <v>17.265500000000081</v>
      </c>
      <c r="F258" s="93" t="str">
        <f t="shared" ca="1" si="58"/>
        <v>17.265 to 17.266</v>
      </c>
      <c r="G258" s="97">
        <f ca="1">COUNTIF(SPC!$C$37:$BA$37,"&lt;="&amp;E258)-COUNTIF(SPC!$C$37:$BA$37,"&lt;="&amp;D258)</f>
        <v>0</v>
      </c>
      <c r="H258" s="93">
        <f t="shared" ca="1" si="54"/>
        <v>2.7593100248193696E-7</v>
      </c>
      <c r="I258" s="104"/>
      <c r="J258" s="88"/>
      <c r="K258" s="88"/>
      <c r="L258" s="88"/>
      <c r="M258" s="88"/>
      <c r="N258" s="88"/>
      <c r="O258" s="88"/>
      <c r="P258" s="88"/>
      <c r="Q258" s="88"/>
      <c r="R258" s="88"/>
      <c r="S258" s="88"/>
      <c r="T258" s="88"/>
      <c r="U258" s="88"/>
      <c r="V258" s="88"/>
      <c r="W258" s="143"/>
      <c r="X258" s="12"/>
      <c r="Y258" s="12"/>
    </row>
    <row r="259" spans="1:25" x14ac:dyDescent="0.25">
      <c r="A259" s="144"/>
      <c r="B259" s="148"/>
      <c r="C259" s="93">
        <f t="shared" si="55"/>
        <v>68</v>
      </c>
      <c r="D259" s="197">
        <f t="shared" ca="1" si="56"/>
        <v>17.265500000000081</v>
      </c>
      <c r="E259" s="197">
        <f t="shared" ca="1" si="57"/>
        <v>17.266500000000082</v>
      </c>
      <c r="F259" s="93" t="str">
        <f t="shared" ca="1" si="58"/>
        <v>17.266 to 17.267</v>
      </c>
      <c r="G259" s="97">
        <f ca="1">COUNTIF(SPC!$C$37:$BA$37,"&lt;="&amp;E259)-COUNTIF(SPC!$C$37:$BA$37,"&lt;="&amp;D259)</f>
        <v>0</v>
      </c>
      <c r="H259" s="93">
        <f t="shared" ca="1" si="54"/>
        <v>9.2852346702318997E-8</v>
      </c>
      <c r="I259" s="104"/>
      <c r="J259" s="88"/>
      <c r="K259" s="88"/>
      <c r="L259" s="88"/>
      <c r="M259" s="88"/>
      <c r="N259" s="88"/>
      <c r="O259" s="88"/>
      <c r="P259" s="88"/>
      <c r="Q259" s="88"/>
      <c r="R259" s="88"/>
      <c r="S259" s="88"/>
      <c r="T259" s="88"/>
      <c r="U259" s="88"/>
      <c r="V259" s="88"/>
      <c r="W259" s="143"/>
      <c r="X259" s="12"/>
      <c r="Y259" s="12"/>
    </row>
    <row r="260" spans="1:25" x14ac:dyDescent="0.25">
      <c r="A260" s="144"/>
      <c r="B260" s="148"/>
      <c r="C260" s="93">
        <f t="shared" si="55"/>
        <v>69</v>
      </c>
      <c r="D260" s="197">
        <f t="shared" ca="1" si="56"/>
        <v>17.266500000000082</v>
      </c>
      <c r="E260" s="197">
        <f t="shared" ca="1" si="57"/>
        <v>17.267500000000084</v>
      </c>
      <c r="F260" s="93" t="str">
        <f t="shared" ca="1" si="58"/>
        <v>17.267 to 17.268</v>
      </c>
      <c r="G260" s="97">
        <f ca="1">COUNTIF(SPC!$C$37:$BA$37,"&lt;="&amp;E260)-COUNTIF(SPC!$C$37:$BA$37,"&lt;="&amp;D260)</f>
        <v>0</v>
      </c>
      <c r="H260" s="93">
        <f t="shared" ca="1" si="54"/>
        <v>3.0326769974672825E-8</v>
      </c>
      <c r="I260" s="104"/>
      <c r="J260" s="88"/>
      <c r="K260" s="88"/>
      <c r="L260" s="88"/>
      <c r="M260" s="88"/>
      <c r="N260" s="88"/>
      <c r="O260" s="88"/>
      <c r="P260" s="88"/>
      <c r="Q260" s="88"/>
      <c r="R260" s="88"/>
      <c r="S260" s="88"/>
      <c r="T260" s="88"/>
      <c r="U260" s="88"/>
      <c r="V260" s="88"/>
      <c r="W260" s="143"/>
      <c r="X260" s="12"/>
      <c r="Y260" s="12"/>
    </row>
    <row r="261" spans="1:25" x14ac:dyDescent="0.25">
      <c r="A261" s="144"/>
      <c r="B261" s="148"/>
      <c r="C261" s="93">
        <f t="shared" si="55"/>
        <v>70</v>
      </c>
      <c r="D261" s="197">
        <f t="shared" ca="1" si="56"/>
        <v>17.267500000000084</v>
      </c>
      <c r="E261" s="197">
        <f t="shared" ca="1" si="57"/>
        <v>17.268500000000085</v>
      </c>
      <c r="F261" s="93" t="str">
        <f t="shared" ca="1" si="58"/>
        <v>17.268 to 17.269</v>
      </c>
      <c r="G261" s="97">
        <f ca="1">COUNTIF(SPC!$C$37:$BA$37,"&lt;="&amp;E261)-COUNTIF(SPC!$C$37:$BA$37,"&lt;="&amp;D261)</f>
        <v>0</v>
      </c>
      <c r="H261" s="93">
        <f t="shared" ca="1" si="54"/>
        <v>9.6139158691700709E-9</v>
      </c>
      <c r="I261" s="104"/>
      <c r="J261" s="88"/>
      <c r="K261" s="88"/>
      <c r="L261" s="88"/>
      <c r="M261" s="88"/>
      <c r="N261" s="88"/>
      <c r="O261" s="88"/>
      <c r="P261" s="88"/>
      <c r="Q261" s="88"/>
      <c r="R261" s="88"/>
      <c r="S261" s="88"/>
      <c r="T261" s="88"/>
      <c r="U261" s="88"/>
      <c r="V261" s="88"/>
      <c r="W261" s="143"/>
      <c r="X261" s="12"/>
      <c r="Y261" s="12"/>
    </row>
    <row r="262" spans="1:25" x14ac:dyDescent="0.25">
      <c r="A262" s="144"/>
      <c r="B262" s="148"/>
      <c r="C262" s="93">
        <f t="shared" si="55"/>
        <v>71</v>
      </c>
      <c r="D262" s="197">
        <f t="shared" ca="1" si="56"/>
        <v>17.268500000000085</v>
      </c>
      <c r="E262" s="197">
        <f t="shared" ca="1" si="57"/>
        <v>17.269500000000086</v>
      </c>
      <c r="F262" s="93" t="str">
        <f t="shared" ca="1" si="58"/>
        <v>17.269 to 17.270</v>
      </c>
      <c r="G262" s="97">
        <f ca="1">COUNTIF(SPC!$C$37:$BA$37,"&lt;="&amp;E262)-COUNTIF(SPC!$C$37:$BA$37,"&lt;="&amp;D262)</f>
        <v>0</v>
      </c>
      <c r="H262" s="93">
        <f t="shared" ca="1" si="54"/>
        <v>2.9581171186892022E-9</v>
      </c>
      <c r="I262" s="104"/>
      <c r="J262" s="88"/>
      <c r="K262" s="88"/>
      <c r="L262" s="88"/>
      <c r="M262" s="88"/>
      <c r="N262" s="88"/>
      <c r="O262" s="88"/>
      <c r="P262" s="88"/>
      <c r="Q262" s="88"/>
      <c r="R262" s="88"/>
      <c r="S262" s="88"/>
      <c r="T262" s="88"/>
      <c r="U262" s="88"/>
      <c r="V262" s="88"/>
      <c r="W262" s="143"/>
      <c r="X262" s="12"/>
      <c r="Y262" s="12"/>
    </row>
    <row r="263" spans="1:25" x14ac:dyDescent="0.25">
      <c r="A263" s="144"/>
      <c r="B263" s="148"/>
      <c r="C263" s="93">
        <f t="shared" si="55"/>
        <v>72</v>
      </c>
      <c r="D263" s="197">
        <f t="shared" ca="1" si="56"/>
        <v>17.269500000000086</v>
      </c>
      <c r="E263" s="197">
        <f t="shared" ca="1" si="57"/>
        <v>17.270500000000087</v>
      </c>
      <c r="F263" s="93" t="str">
        <f t="shared" ca="1" si="58"/>
        <v>17.270 to 17.271</v>
      </c>
      <c r="G263" s="97">
        <f ca="1">COUNTIF(SPC!$C$37:$BA$37,"&lt;="&amp;E263)-COUNTIF(SPC!$C$37:$BA$37,"&lt;="&amp;D263)</f>
        <v>0</v>
      </c>
      <c r="H263" s="93">
        <f t="shared" ca="1" si="54"/>
        <v>8.8342828360309763E-10</v>
      </c>
      <c r="I263" s="104"/>
      <c r="J263" s="88"/>
      <c r="K263" s="88"/>
      <c r="L263" s="88"/>
      <c r="M263" s="88"/>
      <c r="N263" s="88"/>
      <c r="O263" s="88"/>
      <c r="P263" s="88"/>
      <c r="Q263" s="88"/>
      <c r="R263" s="88"/>
      <c r="S263" s="88"/>
      <c r="T263" s="88"/>
      <c r="U263" s="88"/>
      <c r="V263" s="88"/>
      <c r="W263" s="143"/>
      <c r="X263" s="12"/>
      <c r="Y263" s="12"/>
    </row>
    <row r="264" spans="1:25" x14ac:dyDescent="0.25">
      <c r="A264" s="144"/>
      <c r="B264" s="148"/>
      <c r="C264" s="93">
        <f t="shared" si="55"/>
        <v>73</v>
      </c>
      <c r="D264" s="197">
        <f t="shared" ca="1" si="56"/>
        <v>17.270500000000087</v>
      </c>
      <c r="E264" s="197">
        <f t="shared" ca="1" si="57"/>
        <v>17.271500000000088</v>
      </c>
      <c r="F264" s="93" t="str">
        <f t="shared" ca="1" si="58"/>
        <v>17.271 to 17.272</v>
      </c>
      <c r="G264" s="97">
        <f ca="1">COUNTIF(SPC!$C$37:$BA$37,"&lt;="&amp;E264)-COUNTIF(SPC!$C$37:$BA$37,"&lt;="&amp;D264)</f>
        <v>0</v>
      </c>
      <c r="H264" s="93">
        <f t="shared" ca="1" si="54"/>
        <v>2.5607555423543278E-10</v>
      </c>
      <c r="I264" s="104"/>
      <c r="J264" s="88"/>
      <c r="K264" s="88"/>
      <c r="L264" s="88"/>
      <c r="M264" s="88"/>
      <c r="N264" s="88"/>
      <c r="O264" s="88"/>
      <c r="P264" s="88"/>
      <c r="Q264" s="88"/>
      <c r="R264" s="88"/>
      <c r="S264" s="88"/>
      <c r="T264" s="88"/>
      <c r="U264" s="88"/>
      <c r="V264" s="88"/>
      <c r="W264" s="143"/>
      <c r="X264" s="12"/>
      <c r="Y264" s="12"/>
    </row>
    <row r="265" spans="1:25" x14ac:dyDescent="0.25">
      <c r="A265" s="144"/>
      <c r="B265" s="148"/>
      <c r="C265" s="93">
        <f t="shared" si="55"/>
        <v>74</v>
      </c>
      <c r="D265" s="197">
        <f t="shared" ca="1" si="56"/>
        <v>17.271500000000088</v>
      </c>
      <c r="E265" s="197">
        <f t="shared" ca="1" si="57"/>
        <v>17.27250000000009</v>
      </c>
      <c r="F265" s="93" t="str">
        <f t="shared" ca="1" si="58"/>
        <v>17.272 to 17.273</v>
      </c>
      <c r="G265" s="97">
        <f ca="1">COUNTIF(SPC!$C$37:$BA$37,"&lt;="&amp;E265)-COUNTIF(SPC!$C$37:$BA$37,"&lt;="&amp;D265)</f>
        <v>0</v>
      </c>
      <c r="H265" s="93">
        <f t="shared" ca="1" si="54"/>
        <v>7.2045329272917526E-11</v>
      </c>
      <c r="I265" s="104"/>
      <c r="J265" s="88"/>
      <c r="K265" s="88"/>
      <c r="L265" s="88"/>
      <c r="M265" s="88"/>
      <c r="N265" s="88"/>
      <c r="O265" s="88"/>
      <c r="P265" s="88"/>
      <c r="Q265" s="88"/>
      <c r="R265" s="88"/>
      <c r="S265" s="88"/>
      <c r="T265" s="88"/>
      <c r="U265" s="88"/>
      <c r="V265" s="88"/>
      <c r="W265" s="143"/>
      <c r="X265" s="12"/>
      <c r="Y265" s="12"/>
    </row>
    <row r="266" spans="1:25" x14ac:dyDescent="0.25">
      <c r="A266" s="144"/>
      <c r="B266" s="148"/>
      <c r="C266" s="93">
        <f t="shared" si="55"/>
        <v>75</v>
      </c>
      <c r="D266" s="197">
        <f t="shared" ca="1" si="56"/>
        <v>17.27250000000009</v>
      </c>
      <c r="E266" s="197">
        <f t="shared" ca="1" si="57"/>
        <v>17.273500000000091</v>
      </c>
      <c r="F266" s="93" t="str">
        <f t="shared" ca="1" si="58"/>
        <v>17.273 to 17.274</v>
      </c>
      <c r="G266" s="97">
        <f ca="1">COUNTIF(SPC!$C$37:$BA$37,"&lt;="&amp;E266)-COUNTIF(SPC!$C$37:$BA$37,"&lt;="&amp;D266)</f>
        <v>0</v>
      </c>
      <c r="H266" s="93">
        <f t="shared" ca="1" si="54"/>
        <v>1.9673626724307909E-11</v>
      </c>
      <c r="I266" s="104"/>
      <c r="J266" s="88"/>
      <c r="K266" s="88"/>
      <c r="L266" s="88"/>
      <c r="M266" s="88"/>
      <c r="N266" s="88"/>
      <c r="O266" s="88"/>
      <c r="P266" s="88"/>
      <c r="Q266" s="88"/>
      <c r="R266" s="88"/>
      <c r="S266" s="88"/>
      <c r="T266" s="88"/>
      <c r="U266" s="88"/>
      <c r="V266" s="88"/>
      <c r="W266" s="143"/>
      <c r="X266" s="12"/>
      <c r="Y266" s="12"/>
    </row>
    <row r="267" spans="1:25" x14ac:dyDescent="0.25">
      <c r="A267" s="144"/>
      <c r="B267" s="148"/>
      <c r="C267" s="93">
        <f t="shared" si="55"/>
        <v>76</v>
      </c>
      <c r="D267" s="197">
        <f t="shared" ca="1" si="56"/>
        <v>17.273500000000091</v>
      </c>
      <c r="E267" s="197">
        <f t="shared" ca="1" si="57"/>
        <v>17.274500000000092</v>
      </c>
      <c r="F267" s="93" t="str">
        <f t="shared" ca="1" si="58"/>
        <v>17.274 to 17.275</v>
      </c>
      <c r="G267" s="97">
        <f ca="1">COUNTIF(SPC!$C$37:$BA$37,"&lt;="&amp;E267)-COUNTIF(SPC!$C$37:$BA$37,"&lt;="&amp;D267)</f>
        <v>0</v>
      </c>
      <c r="H267" s="93">
        <f t="shared" ca="1" si="54"/>
        <v>5.2143948100849589E-12</v>
      </c>
      <c r="I267" s="104"/>
      <c r="J267" s="88"/>
      <c r="K267" s="88"/>
      <c r="L267" s="88"/>
      <c r="M267" s="88"/>
      <c r="N267" s="88"/>
      <c r="O267" s="88"/>
      <c r="P267" s="88"/>
      <c r="Q267" s="88"/>
      <c r="R267" s="88"/>
      <c r="S267" s="88"/>
      <c r="T267" s="88"/>
      <c r="U267" s="88"/>
      <c r="V267" s="88"/>
      <c r="W267" s="143"/>
      <c r="X267" s="12"/>
      <c r="Y267" s="12"/>
    </row>
    <row r="268" spans="1:25" x14ac:dyDescent="0.25">
      <c r="A268" s="144"/>
      <c r="B268" s="148"/>
      <c r="C268" s="93">
        <f t="shared" si="55"/>
        <v>77</v>
      </c>
      <c r="D268" s="197">
        <f t="shared" ca="1" si="56"/>
        <v>17.274500000000092</v>
      </c>
      <c r="E268" s="197">
        <f t="shared" ca="1" si="57"/>
        <v>17.275500000000093</v>
      </c>
      <c r="F268" s="93" t="str">
        <f t="shared" ca="1" si="58"/>
        <v>17.275 to 17.276</v>
      </c>
      <c r="G268" s="97">
        <f ca="1">COUNTIF(SPC!$C$37:$BA$37,"&lt;="&amp;E268)-COUNTIF(SPC!$C$37:$BA$37,"&lt;="&amp;D268)</f>
        <v>0</v>
      </c>
      <c r="H268" s="93">
        <f t="shared" ca="1" si="54"/>
        <v>1.3414184702217996E-12</v>
      </c>
      <c r="I268" s="104"/>
      <c r="J268" s="88"/>
      <c r="K268" s="88"/>
      <c r="L268" s="88"/>
      <c r="M268" s="88"/>
      <c r="N268" s="88"/>
      <c r="O268" s="88"/>
      <c r="P268" s="88"/>
      <c r="Q268" s="88"/>
      <c r="R268" s="88"/>
      <c r="S268" s="88"/>
      <c r="T268" s="88"/>
      <c r="U268" s="88"/>
      <c r="V268" s="88"/>
      <c r="W268" s="143"/>
      <c r="X268" s="12"/>
      <c r="Y268" s="12"/>
    </row>
    <row r="269" spans="1:25" x14ac:dyDescent="0.25">
      <c r="A269" s="144"/>
      <c r="B269" s="148"/>
      <c r="C269" s="93">
        <f t="shared" si="55"/>
        <v>78</v>
      </c>
      <c r="D269" s="197">
        <f t="shared" ca="1" si="56"/>
        <v>17.275500000000093</v>
      </c>
      <c r="E269" s="197">
        <f t="shared" ca="1" si="57"/>
        <v>17.276500000000095</v>
      </c>
      <c r="F269" s="93" t="str">
        <f t="shared" ca="1" si="58"/>
        <v>17.276 to 17.277</v>
      </c>
      <c r="G269" s="97">
        <f ca="1">COUNTIF(SPC!$C$37:$BA$37,"&lt;="&amp;E269)-COUNTIF(SPC!$C$37:$BA$37,"&lt;="&amp;D269)</f>
        <v>0</v>
      </c>
      <c r="H269" s="93">
        <f t="shared" ca="1" si="54"/>
        <v>3.3493886187863972E-13</v>
      </c>
      <c r="I269" s="104"/>
      <c r="J269" s="88"/>
      <c r="K269" s="88"/>
      <c r="L269" s="88"/>
      <c r="M269" s="88"/>
      <c r="N269" s="88"/>
      <c r="O269" s="88"/>
      <c r="P269" s="88"/>
      <c r="Q269" s="88"/>
      <c r="R269" s="88"/>
      <c r="S269" s="88"/>
      <c r="T269" s="88"/>
      <c r="U269" s="88"/>
      <c r="V269" s="88"/>
      <c r="W269" s="143"/>
      <c r="X269" s="12"/>
      <c r="Y269" s="12"/>
    </row>
    <row r="270" spans="1:25" x14ac:dyDescent="0.25">
      <c r="A270" s="144"/>
      <c r="B270" s="148"/>
      <c r="C270" s="93">
        <f t="shared" si="55"/>
        <v>79</v>
      </c>
      <c r="D270" s="197">
        <f t="shared" ca="1" si="56"/>
        <v>17.276500000000095</v>
      </c>
      <c r="E270" s="197">
        <f t="shared" ca="1" si="57"/>
        <v>17.277500000000096</v>
      </c>
      <c r="F270" s="93" t="str">
        <f t="shared" ca="1" si="58"/>
        <v>17.277 to 17.278</v>
      </c>
      <c r="G270" s="97">
        <f ca="1">COUNTIF(SPC!$C$37:$BA$37,"&lt;="&amp;E270)-COUNTIF(SPC!$C$37:$BA$37,"&lt;="&amp;D270)</f>
        <v>0</v>
      </c>
      <c r="H270" s="93">
        <f t="shared" ca="1" si="54"/>
        <v>8.1172268988261306E-14</v>
      </c>
      <c r="I270" s="104"/>
      <c r="J270" s="88"/>
      <c r="K270" s="88"/>
      <c r="L270" s="88"/>
      <c r="M270" s="88"/>
      <c r="N270" s="88"/>
      <c r="O270" s="88"/>
      <c r="P270" s="88"/>
      <c r="Q270" s="88"/>
      <c r="R270" s="88"/>
      <c r="S270" s="88"/>
      <c r="T270" s="88"/>
      <c r="U270" s="88"/>
      <c r="V270" s="88"/>
      <c r="W270" s="143"/>
      <c r="X270" s="12"/>
      <c r="Y270" s="12"/>
    </row>
    <row r="271" spans="1:25" x14ac:dyDescent="0.25">
      <c r="A271" s="144"/>
      <c r="B271" s="148"/>
      <c r="C271" s="93">
        <f t="shared" si="55"/>
        <v>80</v>
      </c>
      <c r="D271" s="197">
        <f t="shared" ca="1" si="56"/>
        <v>17.277500000000096</v>
      </c>
      <c r="E271" s="197">
        <f t="shared" ca="1" si="57"/>
        <v>17.278500000000097</v>
      </c>
      <c r="F271" s="93" t="str">
        <f t="shared" ca="1" si="58"/>
        <v>17.278 to 17.279</v>
      </c>
      <c r="G271" s="97">
        <f ca="1">COUNTIF(SPC!$C$37:$BA$37,"&lt;="&amp;E271)-COUNTIF(SPC!$C$37:$BA$37,"&lt;="&amp;D271)</f>
        <v>0</v>
      </c>
      <c r="H271" s="93">
        <f t="shared" ca="1" si="54"/>
        <v>1.9093727438307078E-14</v>
      </c>
      <c r="I271" s="104"/>
      <c r="J271" s="88"/>
      <c r="K271" s="88"/>
      <c r="L271" s="88"/>
      <c r="M271" s="88"/>
      <c r="N271" s="88"/>
      <c r="O271" s="88"/>
      <c r="P271" s="88"/>
      <c r="Q271" s="88"/>
      <c r="R271" s="88"/>
      <c r="S271" s="88"/>
      <c r="T271" s="88"/>
      <c r="U271" s="88"/>
      <c r="V271" s="88"/>
      <c r="W271" s="143"/>
      <c r="X271" s="12"/>
      <c r="Y271" s="12"/>
    </row>
    <row r="272" spans="1:25" x14ac:dyDescent="0.25">
      <c r="A272" s="144"/>
      <c r="B272" s="148"/>
      <c r="C272" s="93">
        <f t="shared" si="55"/>
        <v>81</v>
      </c>
      <c r="D272" s="197">
        <f t="shared" ca="1" si="56"/>
        <v>17.278500000000097</v>
      </c>
      <c r="E272" s="197">
        <f t="shared" ca="1" si="57"/>
        <v>17.279500000000098</v>
      </c>
      <c r="F272" s="93" t="str">
        <f t="shared" ca="1" si="58"/>
        <v>17.279 to 17.280</v>
      </c>
      <c r="G272" s="97">
        <f ca="1">COUNTIF(SPC!$C$37:$BA$37,"&lt;="&amp;E272)-COUNTIF(SPC!$C$37:$BA$37,"&lt;="&amp;D272)</f>
        <v>0</v>
      </c>
      <c r="H272" s="93">
        <f t="shared" ca="1" si="54"/>
        <v>4.3592787344198996E-15</v>
      </c>
      <c r="I272" s="104"/>
      <c r="J272" s="88"/>
      <c r="K272" s="88"/>
      <c r="L272" s="88"/>
      <c r="M272" s="88"/>
      <c r="N272" s="88"/>
      <c r="O272" s="88"/>
      <c r="P272" s="88"/>
      <c r="Q272" s="88"/>
      <c r="R272" s="88"/>
      <c r="S272" s="88"/>
      <c r="T272" s="88"/>
      <c r="U272" s="88"/>
      <c r="V272" s="88"/>
      <c r="W272" s="143"/>
      <c r="X272" s="12"/>
      <c r="Y272" s="12"/>
    </row>
    <row r="273" spans="1:25" x14ac:dyDescent="0.25">
      <c r="A273" s="144"/>
      <c r="B273" s="148"/>
      <c r="C273" s="93">
        <f t="shared" si="55"/>
        <v>82</v>
      </c>
      <c r="D273" s="197">
        <f t="shared" ca="1" si="56"/>
        <v>17.279500000000098</v>
      </c>
      <c r="E273" s="197">
        <f t="shared" ca="1" si="57"/>
        <v>17.280500000000099</v>
      </c>
      <c r="F273" s="93" t="str">
        <f t="shared" ca="1" si="58"/>
        <v>17.280 to 17.281</v>
      </c>
      <c r="G273" s="97">
        <f ca="1">COUNTIF(SPC!$C$37:$BA$37,"&lt;="&amp;E273)-COUNTIF(SPC!$C$37:$BA$37,"&lt;="&amp;D273)</f>
        <v>0</v>
      </c>
      <c r="H273" s="93">
        <f t="shared" ca="1" si="54"/>
        <v>9.6600516022203296E-16</v>
      </c>
      <c r="I273" s="104"/>
      <c r="J273" s="88"/>
      <c r="K273" s="88"/>
      <c r="L273" s="88"/>
      <c r="M273" s="88"/>
      <c r="N273" s="88"/>
      <c r="O273" s="88"/>
      <c r="P273" s="88"/>
      <c r="Q273" s="88"/>
      <c r="R273" s="88"/>
      <c r="S273" s="88"/>
      <c r="T273" s="88"/>
      <c r="U273" s="88"/>
      <c r="V273" s="88"/>
      <c r="W273" s="143"/>
      <c r="X273" s="12"/>
      <c r="Y273" s="12"/>
    </row>
    <row r="274" spans="1:25" x14ac:dyDescent="0.25">
      <c r="A274" s="144"/>
      <c r="B274" s="148"/>
      <c r="C274" s="93">
        <f t="shared" si="55"/>
        <v>83</v>
      </c>
      <c r="D274" s="197">
        <f t="shared" ca="1" si="56"/>
        <v>17.280500000000099</v>
      </c>
      <c r="E274" s="197">
        <f t="shared" ca="1" si="57"/>
        <v>17.281500000000101</v>
      </c>
      <c r="F274" s="93" t="str">
        <f t="shared" ca="1" si="58"/>
        <v>17.281 to 17.282</v>
      </c>
      <c r="G274" s="97">
        <f ca="1">COUNTIF(SPC!$C$37:$BA$37,"&lt;="&amp;E274)-COUNTIF(SPC!$C$37:$BA$37,"&lt;="&amp;D274)</f>
        <v>0</v>
      </c>
      <c r="H274" s="93">
        <f t="shared" ca="1" si="54"/>
        <v>2.0777110095224008E-16</v>
      </c>
      <c r="I274" s="104"/>
      <c r="J274" s="88"/>
      <c r="K274" s="88"/>
      <c r="L274" s="88"/>
      <c r="M274" s="88"/>
      <c r="N274" s="88"/>
      <c r="O274" s="88"/>
      <c r="P274" s="88"/>
      <c r="Q274" s="88"/>
      <c r="R274" s="88"/>
      <c r="S274" s="88"/>
      <c r="T274" s="88"/>
      <c r="U274" s="88"/>
      <c r="V274" s="88"/>
      <c r="W274" s="143"/>
      <c r="X274" s="12"/>
      <c r="Y274" s="12"/>
    </row>
    <row r="275" spans="1:25" x14ac:dyDescent="0.25">
      <c r="A275" s="144"/>
      <c r="B275" s="148"/>
      <c r="C275" s="93">
        <f t="shared" si="55"/>
        <v>84</v>
      </c>
      <c r="D275" s="197">
        <f t="shared" ca="1" si="56"/>
        <v>17.281500000000101</v>
      </c>
      <c r="E275" s="197">
        <f t="shared" ca="1" si="57"/>
        <v>17.282500000000102</v>
      </c>
      <c r="F275" s="93" t="str">
        <f t="shared" ca="1" si="58"/>
        <v>17.282 to 17.283</v>
      </c>
      <c r="G275" s="97">
        <f ca="1">COUNTIF(SPC!$C$37:$BA$37,"&lt;="&amp;E275)-COUNTIF(SPC!$C$37:$BA$37,"&lt;="&amp;D275)</f>
        <v>0</v>
      </c>
      <c r="H275" s="93">
        <f t="shared" ca="1" si="54"/>
        <v>4.3374224504915746E-17</v>
      </c>
      <c r="I275" s="104"/>
      <c r="J275" s="88"/>
      <c r="K275" s="88"/>
      <c r="L275" s="88"/>
      <c r="M275" s="88"/>
      <c r="N275" s="88"/>
      <c r="O275" s="88"/>
      <c r="P275" s="88"/>
      <c r="Q275" s="88"/>
      <c r="R275" s="88"/>
      <c r="S275" s="88"/>
      <c r="T275" s="88"/>
      <c r="U275" s="88"/>
      <c r="V275" s="88"/>
      <c r="W275" s="143"/>
      <c r="X275" s="12"/>
      <c r="Y275" s="12"/>
    </row>
    <row r="276" spans="1:25" x14ac:dyDescent="0.25">
      <c r="A276" s="144"/>
      <c r="B276" s="148"/>
      <c r="C276" s="93">
        <f t="shared" si="55"/>
        <v>85</v>
      </c>
      <c r="D276" s="197">
        <f t="shared" ca="1" si="56"/>
        <v>17.282500000000102</v>
      </c>
      <c r="E276" s="197">
        <f t="shared" ca="1" si="57"/>
        <v>17.283500000000103</v>
      </c>
      <c r="F276" s="93" t="str">
        <f t="shared" ca="1" si="58"/>
        <v>17.283 to 17.284</v>
      </c>
      <c r="G276" s="97">
        <f ca="1">COUNTIF(SPC!$C$37:$BA$37,"&lt;="&amp;E276)-COUNTIF(SPC!$C$37:$BA$37,"&lt;="&amp;D276)</f>
        <v>0</v>
      </c>
      <c r="H276" s="93">
        <f t="shared" ca="1" si="54"/>
        <v>8.7885897532487291E-18</v>
      </c>
      <c r="I276" s="104"/>
      <c r="J276" s="88"/>
      <c r="K276" s="88"/>
      <c r="L276" s="88"/>
      <c r="M276" s="88"/>
      <c r="N276" s="88"/>
      <c r="O276" s="88"/>
      <c r="P276" s="88"/>
      <c r="Q276" s="88"/>
      <c r="R276" s="88"/>
      <c r="S276" s="88"/>
      <c r="T276" s="88"/>
      <c r="U276" s="88"/>
      <c r="V276" s="88"/>
      <c r="W276" s="143"/>
      <c r="X276" s="12"/>
      <c r="Y276" s="12"/>
    </row>
    <row r="277" spans="1:25" x14ac:dyDescent="0.25">
      <c r="A277" s="144"/>
      <c r="B277" s="148"/>
      <c r="C277" s="93">
        <f t="shared" si="55"/>
        <v>86</v>
      </c>
      <c r="D277" s="197">
        <f t="shared" ca="1" si="56"/>
        <v>17.283500000000103</v>
      </c>
      <c r="E277" s="197">
        <f t="shared" ca="1" si="57"/>
        <v>17.284500000000104</v>
      </c>
      <c r="F277" s="93" t="str">
        <f t="shared" ca="1" si="58"/>
        <v>17.284 to 17.285</v>
      </c>
      <c r="G277" s="97">
        <f ca="1">COUNTIF(SPC!$C$37:$BA$37,"&lt;="&amp;E277)-COUNTIF(SPC!$C$37:$BA$37,"&lt;="&amp;D277)</f>
        <v>0</v>
      </c>
      <c r="H277" s="93">
        <f t="shared" ca="1" si="54"/>
        <v>1.7284130983665285E-18</v>
      </c>
      <c r="I277" s="104"/>
      <c r="J277" s="88"/>
      <c r="K277" s="88"/>
      <c r="L277" s="88"/>
      <c r="M277" s="88"/>
      <c r="N277" s="88"/>
      <c r="O277" s="88"/>
      <c r="P277" s="88"/>
      <c r="Q277" s="88"/>
      <c r="R277" s="88"/>
      <c r="S277" s="88"/>
      <c r="T277" s="88"/>
      <c r="U277" s="88"/>
      <c r="V277" s="88"/>
      <c r="W277" s="143"/>
      <c r="X277" s="12"/>
      <c r="Y277" s="12"/>
    </row>
    <row r="278" spans="1:25" x14ac:dyDescent="0.25">
      <c r="A278" s="144"/>
      <c r="B278" s="148"/>
      <c r="C278" s="93">
        <f t="shared" si="55"/>
        <v>87</v>
      </c>
      <c r="D278" s="197">
        <f t="shared" ca="1" si="56"/>
        <v>17.284500000000104</v>
      </c>
      <c r="E278" s="197">
        <f t="shared" ca="1" si="57"/>
        <v>17.285500000000106</v>
      </c>
      <c r="F278" s="93" t="str">
        <f t="shared" ca="1" si="58"/>
        <v>17.285 to 17.286</v>
      </c>
      <c r="G278" s="97">
        <f ca="1">COUNTIF(SPC!$C$37:$BA$37,"&lt;="&amp;E278)-COUNTIF(SPC!$C$37:$BA$37,"&lt;="&amp;D278)</f>
        <v>0</v>
      </c>
      <c r="H278" s="93">
        <f t="shared" ca="1" si="54"/>
        <v>3.2992619064571984E-19</v>
      </c>
      <c r="I278" s="104"/>
      <c r="J278" s="88"/>
      <c r="K278" s="88"/>
      <c r="L278" s="88"/>
      <c r="M278" s="88"/>
      <c r="N278" s="88"/>
      <c r="O278" s="88"/>
      <c r="P278" s="88"/>
      <c r="Q278" s="88"/>
      <c r="R278" s="88"/>
      <c r="S278" s="88"/>
      <c r="T278" s="88"/>
      <c r="U278" s="88"/>
      <c r="V278" s="88"/>
      <c r="W278" s="143"/>
      <c r="X278" s="12"/>
      <c r="Y278" s="12"/>
    </row>
    <row r="279" spans="1:25" x14ac:dyDescent="0.25">
      <c r="A279" s="144"/>
      <c r="B279" s="148"/>
      <c r="C279" s="93">
        <f t="shared" si="55"/>
        <v>88</v>
      </c>
      <c r="D279" s="197">
        <f t="shared" ca="1" si="56"/>
        <v>17.285500000000106</v>
      </c>
      <c r="E279" s="197">
        <f t="shared" ca="1" si="57"/>
        <v>17.286500000000107</v>
      </c>
      <c r="F279" s="93" t="str">
        <f t="shared" ca="1" si="58"/>
        <v>17.286 to 17.287</v>
      </c>
      <c r="G279" s="97">
        <f ca="1">COUNTIF(SPC!$C$37:$BA$37,"&lt;="&amp;E279)-COUNTIF(SPC!$C$37:$BA$37,"&lt;="&amp;D279)</f>
        <v>0</v>
      </c>
      <c r="H279" s="93">
        <f t="shared" ca="1" si="54"/>
        <v>6.1126133240367036E-20</v>
      </c>
      <c r="I279" s="104"/>
      <c r="J279" s="88"/>
      <c r="K279" s="88"/>
      <c r="L279" s="88"/>
      <c r="M279" s="88"/>
      <c r="N279" s="88"/>
      <c r="O279" s="88"/>
      <c r="P279" s="88"/>
      <c r="Q279" s="88"/>
      <c r="R279" s="88"/>
      <c r="S279" s="88"/>
      <c r="T279" s="88"/>
      <c r="U279" s="88"/>
      <c r="V279" s="88"/>
      <c r="W279" s="143"/>
      <c r="X279" s="12"/>
      <c r="Y279" s="12"/>
    </row>
    <row r="280" spans="1:25" x14ac:dyDescent="0.25">
      <c r="A280" s="144"/>
      <c r="B280" s="148"/>
      <c r="C280" s="93">
        <f t="shared" si="55"/>
        <v>89</v>
      </c>
      <c r="D280" s="197">
        <f t="shared" ca="1" si="56"/>
        <v>17.286500000000107</v>
      </c>
      <c r="E280" s="197">
        <f t="shared" ca="1" si="57"/>
        <v>17.287500000000108</v>
      </c>
      <c r="F280" s="93" t="str">
        <f t="shared" ca="1" si="58"/>
        <v>17.287 to 17.288</v>
      </c>
      <c r="G280" s="97">
        <f ca="1">COUNTIF(SPC!$C$37:$BA$37,"&lt;="&amp;E280)-COUNTIF(SPC!$C$37:$BA$37,"&lt;="&amp;D280)</f>
        <v>0</v>
      </c>
      <c r="H280" s="93">
        <f t="shared" ca="1" si="54"/>
        <v>1.0992030939238654E-20</v>
      </c>
      <c r="I280" s="104"/>
      <c r="J280" s="88"/>
      <c r="K280" s="88"/>
      <c r="L280" s="88"/>
      <c r="M280" s="88"/>
      <c r="N280" s="88"/>
      <c r="O280" s="88"/>
      <c r="P280" s="88"/>
      <c r="Q280" s="88"/>
      <c r="R280" s="88"/>
      <c r="S280" s="88"/>
      <c r="T280" s="88"/>
      <c r="U280" s="88"/>
      <c r="V280" s="88"/>
      <c r="W280" s="143"/>
      <c r="X280" s="12"/>
      <c r="Y280" s="12"/>
    </row>
    <row r="281" spans="1:25" x14ac:dyDescent="0.25">
      <c r="A281" s="144"/>
      <c r="B281" s="148"/>
      <c r="C281" s="93">
        <f t="shared" si="55"/>
        <v>90</v>
      </c>
      <c r="D281" s="197">
        <f t="shared" ca="1" si="56"/>
        <v>17.287500000000108</v>
      </c>
      <c r="E281" s="197">
        <f t="shared" ca="1" si="57"/>
        <v>17.288500000000109</v>
      </c>
      <c r="F281" s="93" t="str">
        <f t="shared" ca="1" si="58"/>
        <v>17.288 to 17.289</v>
      </c>
      <c r="G281" s="97">
        <f ca="1">COUNTIF(SPC!$C$37:$BA$37,"&lt;="&amp;E281)-COUNTIF(SPC!$C$37:$BA$37,"&lt;="&amp;D281)</f>
        <v>0</v>
      </c>
      <c r="H281" s="93">
        <f t="shared" ca="1" si="54"/>
        <v>1.9185355358060575E-21</v>
      </c>
      <c r="I281" s="104"/>
      <c r="J281" s="88"/>
      <c r="K281" s="88"/>
      <c r="L281" s="88"/>
      <c r="M281" s="88"/>
      <c r="N281" s="88"/>
      <c r="O281" s="88"/>
      <c r="P281" s="88"/>
      <c r="Q281" s="88"/>
      <c r="R281" s="88"/>
      <c r="S281" s="88"/>
      <c r="T281" s="88"/>
      <c r="U281" s="88"/>
      <c r="V281" s="88"/>
      <c r="W281" s="143"/>
      <c r="X281" s="12"/>
      <c r="Y281" s="12"/>
    </row>
    <row r="282" spans="1:25" x14ac:dyDescent="0.25">
      <c r="A282" s="144"/>
      <c r="B282" s="148"/>
      <c r="C282" s="93">
        <f t="shared" si="55"/>
        <v>91</v>
      </c>
      <c r="D282" s="197">
        <f t="shared" ca="1" si="56"/>
        <v>17.288500000000109</v>
      </c>
      <c r="E282" s="197">
        <f t="shared" ca="1" si="57"/>
        <v>17.28950000000011</v>
      </c>
      <c r="F282" s="93" t="str">
        <f t="shared" ca="1" si="58"/>
        <v>17.289 to 17.290</v>
      </c>
      <c r="G282" s="97">
        <f ca="1">COUNTIF(SPC!$C$37:$BA$37,"&lt;="&amp;E282)-COUNTIF(SPC!$C$37:$BA$37,"&lt;="&amp;D282)</f>
        <v>0</v>
      </c>
      <c r="H282" s="93">
        <f t="shared" ca="1" si="54"/>
        <v>3.2501442809965383E-22</v>
      </c>
      <c r="I282" s="104"/>
      <c r="J282" s="88"/>
      <c r="K282" s="88"/>
      <c r="L282" s="88"/>
      <c r="M282" s="88"/>
      <c r="N282" s="88"/>
      <c r="O282" s="88"/>
      <c r="P282" s="88"/>
      <c r="Q282" s="88"/>
      <c r="R282" s="88"/>
      <c r="S282" s="88"/>
      <c r="T282" s="88"/>
      <c r="U282" s="88"/>
      <c r="V282" s="88"/>
      <c r="W282" s="143"/>
      <c r="X282" s="12"/>
      <c r="Y282" s="12"/>
    </row>
    <row r="283" spans="1:25" x14ac:dyDescent="0.25">
      <c r="A283" s="144"/>
      <c r="B283" s="148"/>
      <c r="C283" s="93">
        <f t="shared" si="55"/>
        <v>92</v>
      </c>
      <c r="D283" s="197">
        <f t="shared" ca="1" si="56"/>
        <v>17.28950000000011</v>
      </c>
      <c r="E283" s="197">
        <f t="shared" ca="1" si="57"/>
        <v>17.290500000000112</v>
      </c>
      <c r="F283" s="93" t="str">
        <f t="shared" ca="1" si="58"/>
        <v>17.290 to 17.291</v>
      </c>
      <c r="G283" s="97">
        <f ca="1">COUNTIF(SPC!$C$37:$BA$37,"&lt;="&amp;E283)-COUNTIF(SPC!$C$37:$BA$37,"&lt;="&amp;D283)</f>
        <v>0</v>
      </c>
      <c r="H283" s="93">
        <f t="shared" ca="1" si="54"/>
        <v>5.3441214693078247E-23</v>
      </c>
      <c r="I283" s="104"/>
      <c r="J283" s="88"/>
      <c r="K283" s="88"/>
      <c r="L283" s="88"/>
      <c r="M283" s="88"/>
      <c r="N283" s="88"/>
      <c r="O283" s="88"/>
      <c r="P283" s="88"/>
      <c r="Q283" s="88"/>
      <c r="R283" s="88"/>
      <c r="S283" s="88"/>
      <c r="T283" s="88"/>
      <c r="U283" s="88"/>
      <c r="V283" s="88"/>
      <c r="W283" s="143"/>
      <c r="X283" s="12"/>
      <c r="Y283" s="12"/>
    </row>
    <row r="284" spans="1:25" x14ac:dyDescent="0.25">
      <c r="A284" s="144"/>
      <c r="B284" s="148"/>
      <c r="C284" s="93">
        <f t="shared" si="55"/>
        <v>93</v>
      </c>
      <c r="D284" s="197">
        <f t="shared" ca="1" si="56"/>
        <v>17.290500000000112</v>
      </c>
      <c r="E284" s="197">
        <f t="shared" ca="1" si="57"/>
        <v>17.291500000000113</v>
      </c>
      <c r="F284" s="93" t="str">
        <f t="shared" ca="1" si="58"/>
        <v>17.291 to 17.292</v>
      </c>
      <c r="G284" s="97">
        <f ca="1">COUNTIF(SPC!$C$37:$BA$37,"&lt;="&amp;E284)-COUNTIF(SPC!$C$37:$BA$37,"&lt;="&amp;D284)</f>
        <v>0</v>
      </c>
      <c r="H284" s="93">
        <f t="shared" ca="1" si="54"/>
        <v>8.5288580905024227E-24</v>
      </c>
      <c r="I284" s="104"/>
      <c r="J284" s="88"/>
      <c r="K284" s="88"/>
      <c r="L284" s="88"/>
      <c r="M284" s="88"/>
      <c r="N284" s="88"/>
      <c r="O284" s="88"/>
      <c r="P284" s="88"/>
      <c r="Q284" s="88"/>
      <c r="R284" s="88"/>
      <c r="S284" s="88"/>
      <c r="T284" s="88"/>
      <c r="U284" s="88"/>
      <c r="V284" s="88"/>
      <c r="W284" s="143"/>
      <c r="X284" s="12"/>
      <c r="Y284" s="12"/>
    </row>
    <row r="285" spans="1:25" x14ac:dyDescent="0.25">
      <c r="A285" s="144"/>
      <c r="B285" s="148"/>
      <c r="C285" s="93">
        <f t="shared" si="55"/>
        <v>94</v>
      </c>
      <c r="D285" s="197">
        <f t="shared" ca="1" si="56"/>
        <v>17.291500000000113</v>
      </c>
      <c r="E285" s="197">
        <f t="shared" ca="1" si="57"/>
        <v>17.292500000000114</v>
      </c>
      <c r="F285" s="93" t="str">
        <f t="shared" ca="1" si="58"/>
        <v>17.292 to 17.293</v>
      </c>
      <c r="G285" s="97">
        <f ca="1">COUNTIF(SPC!$C$37:$BA$37,"&lt;="&amp;E285)-COUNTIF(SPC!$C$37:$BA$37,"&lt;="&amp;D285)</f>
        <v>0</v>
      </c>
      <c r="H285" s="93">
        <f t="shared" ca="1" si="54"/>
        <v>1.3211323987575977E-24</v>
      </c>
      <c r="I285" s="104"/>
      <c r="J285" s="88"/>
      <c r="K285" s="88"/>
      <c r="L285" s="88"/>
      <c r="M285" s="88"/>
      <c r="N285" s="88"/>
      <c r="O285" s="88"/>
      <c r="P285" s="88"/>
      <c r="Q285" s="88"/>
      <c r="R285" s="88"/>
      <c r="S285" s="88"/>
      <c r="T285" s="88"/>
      <c r="U285" s="88"/>
      <c r="V285" s="88"/>
      <c r="W285" s="143"/>
      <c r="X285" s="12"/>
      <c r="Y285" s="12"/>
    </row>
    <row r="286" spans="1:25" x14ac:dyDescent="0.25">
      <c r="A286" s="144"/>
      <c r="B286" s="148"/>
      <c r="C286" s="93">
        <f t="shared" si="55"/>
        <v>95</v>
      </c>
      <c r="D286" s="197">
        <f t="shared" ca="1" si="56"/>
        <v>17.292500000000114</v>
      </c>
      <c r="E286" s="197">
        <f t="shared" ca="1" si="57"/>
        <v>17.293500000000115</v>
      </c>
      <c r="F286" s="93" t="str">
        <f t="shared" ca="1" si="58"/>
        <v>17.293 to 17.294</v>
      </c>
      <c r="G286" s="97">
        <f ca="1">COUNTIF(SPC!$C$37:$BA$37,"&lt;="&amp;E286)-COUNTIF(SPC!$C$37:$BA$37,"&lt;="&amp;D286)</f>
        <v>0</v>
      </c>
      <c r="H286" s="93">
        <f t="shared" ca="1" si="54"/>
        <v>1.986290132549398E-25</v>
      </c>
      <c r="I286" s="104"/>
      <c r="J286" s="88"/>
      <c r="K286" s="88"/>
      <c r="L286" s="88"/>
      <c r="M286" s="88"/>
      <c r="N286" s="88"/>
      <c r="O286" s="88"/>
      <c r="P286" s="88"/>
      <c r="Q286" s="88"/>
      <c r="R286" s="88"/>
      <c r="S286" s="88"/>
      <c r="T286" s="88"/>
      <c r="U286" s="88"/>
      <c r="V286" s="88"/>
      <c r="W286" s="143"/>
      <c r="X286" s="12"/>
      <c r="Y286" s="12"/>
    </row>
    <row r="287" spans="1:25" x14ac:dyDescent="0.25">
      <c r="A287" s="144"/>
      <c r="B287" s="148"/>
      <c r="C287" s="93">
        <f t="shared" si="55"/>
        <v>96</v>
      </c>
      <c r="D287" s="197">
        <f t="shared" ca="1" si="56"/>
        <v>17.293500000000115</v>
      </c>
      <c r="E287" s="197">
        <f t="shared" ca="1" si="57"/>
        <v>17.294500000000117</v>
      </c>
      <c r="F287" s="93" t="str">
        <f t="shared" ca="1" si="58"/>
        <v>17.294 to 17.295</v>
      </c>
      <c r="G287" s="97">
        <f ca="1">COUNTIF(SPC!$C$37:$BA$37,"&lt;="&amp;E287)-COUNTIF(SPC!$C$37:$BA$37,"&lt;="&amp;D287)</f>
        <v>0</v>
      </c>
      <c r="H287" s="93">
        <f t="shared" ref="H287:H318" ca="1" si="59">IF(G$181&lt;&gt;0,NORMDIST(D$189+C287*D$188-D$188/2,D$182,G$181,FALSE),D287)</f>
        <v>2.8985441138847899E-26</v>
      </c>
      <c r="I287" s="104"/>
      <c r="J287" s="88"/>
      <c r="K287" s="88"/>
      <c r="L287" s="88"/>
      <c r="M287" s="88"/>
      <c r="N287" s="88"/>
      <c r="O287" s="88"/>
      <c r="P287" s="88"/>
      <c r="Q287" s="88"/>
      <c r="R287" s="88"/>
      <c r="S287" s="88"/>
      <c r="T287" s="88"/>
      <c r="U287" s="88"/>
      <c r="V287" s="88"/>
      <c r="W287" s="143"/>
      <c r="X287" s="12"/>
      <c r="Y287" s="12"/>
    </row>
    <row r="288" spans="1:25" x14ac:dyDescent="0.25">
      <c r="A288" s="144"/>
      <c r="B288" s="148"/>
      <c r="C288" s="93">
        <f t="shared" ref="C288:C319" si="60">C287+1</f>
        <v>97</v>
      </c>
      <c r="D288" s="197">
        <f t="shared" ref="D288:D319" ca="1" si="61">E287</f>
        <v>17.294500000000117</v>
      </c>
      <c r="E288" s="197">
        <f t="shared" ref="E288:E319" ca="1" si="62">D288+$D$188</f>
        <v>17.295500000000118</v>
      </c>
      <c r="F288" s="93" t="str">
        <f t="shared" ref="F288:F319" ca="1" si="63">FIXED(D288,$E$180)&amp;" to "&amp;FIXED(E288,$E$180)</f>
        <v>17.295 to 17.296</v>
      </c>
      <c r="G288" s="97">
        <f ca="1">COUNTIF(SPC!$C$37:$BA$37,"&lt;="&amp;E288)-COUNTIF(SPC!$C$37:$BA$37,"&lt;="&amp;D288)</f>
        <v>0</v>
      </c>
      <c r="H288" s="93">
        <f t="shared" ca="1" si="59"/>
        <v>4.1054241338660593E-27</v>
      </c>
      <c r="I288" s="104"/>
      <c r="J288" s="88"/>
      <c r="K288" s="88"/>
      <c r="L288" s="88"/>
      <c r="M288" s="88"/>
      <c r="N288" s="88"/>
      <c r="O288" s="88"/>
      <c r="P288" s="88"/>
      <c r="Q288" s="88"/>
      <c r="R288" s="88"/>
      <c r="S288" s="88"/>
      <c r="T288" s="88"/>
      <c r="U288" s="88"/>
      <c r="V288" s="88"/>
      <c r="W288" s="143"/>
      <c r="X288" s="12"/>
      <c r="Y288" s="12"/>
    </row>
    <row r="289" spans="1:25" x14ac:dyDescent="0.25">
      <c r="A289" s="144"/>
      <c r="B289" s="148"/>
      <c r="C289" s="93">
        <f t="shared" si="60"/>
        <v>98</v>
      </c>
      <c r="D289" s="197">
        <f t="shared" ca="1" si="61"/>
        <v>17.295500000000118</v>
      </c>
      <c r="E289" s="197">
        <f t="shared" ca="1" si="62"/>
        <v>17.296500000000119</v>
      </c>
      <c r="F289" s="93" t="str">
        <f t="shared" ca="1" si="63"/>
        <v>17.296 to 17.297</v>
      </c>
      <c r="G289" s="97">
        <f ca="1">COUNTIF(SPC!$C$37:$BA$37,"&lt;="&amp;E289)-COUNTIF(SPC!$C$37:$BA$37,"&lt;="&amp;D289)</f>
        <v>0</v>
      </c>
      <c r="H289" s="93">
        <f t="shared" ca="1" si="59"/>
        <v>5.6438704304926408E-28</v>
      </c>
      <c r="I289" s="104"/>
      <c r="J289" s="88"/>
      <c r="K289" s="88"/>
      <c r="L289" s="88"/>
      <c r="M289" s="88"/>
      <c r="N289" s="88"/>
      <c r="O289" s="88"/>
      <c r="P289" s="88"/>
      <c r="Q289" s="88"/>
      <c r="R289" s="88"/>
      <c r="S289" s="88"/>
      <c r="T289" s="88"/>
      <c r="U289" s="88"/>
      <c r="V289" s="88"/>
      <c r="W289" s="143"/>
      <c r="X289" s="12"/>
      <c r="Y289" s="12"/>
    </row>
    <row r="290" spans="1:25" x14ac:dyDescent="0.25">
      <c r="A290" s="144"/>
      <c r="B290" s="148"/>
      <c r="C290" s="93">
        <f t="shared" si="60"/>
        <v>99</v>
      </c>
      <c r="D290" s="197">
        <f t="shared" ca="1" si="61"/>
        <v>17.296500000000119</v>
      </c>
      <c r="E290" s="197">
        <f t="shared" ca="1" si="62"/>
        <v>17.29750000000012</v>
      </c>
      <c r="F290" s="93" t="str">
        <f t="shared" ca="1" si="63"/>
        <v>17.297 to 17.298</v>
      </c>
      <c r="G290" s="97">
        <f ca="1">COUNTIF(SPC!$C$37:$BA$37,"&lt;="&amp;E290)-COUNTIF(SPC!$C$37:$BA$37,"&lt;="&amp;D290)</f>
        <v>0</v>
      </c>
      <c r="H290" s="93">
        <f t="shared" ca="1" si="59"/>
        <v>7.5307273799513682E-29</v>
      </c>
      <c r="I290" s="104"/>
      <c r="J290" s="88"/>
      <c r="K290" s="88"/>
      <c r="L290" s="88"/>
      <c r="M290" s="88"/>
      <c r="N290" s="88"/>
      <c r="O290" s="88"/>
      <c r="P290" s="88"/>
      <c r="Q290" s="88"/>
      <c r="R290" s="88"/>
      <c r="S290" s="88"/>
      <c r="T290" s="88"/>
      <c r="U290" s="88"/>
      <c r="V290" s="88"/>
      <c r="W290" s="143"/>
      <c r="X290" s="12"/>
      <c r="Y290" s="12"/>
    </row>
    <row r="291" spans="1:25" x14ac:dyDescent="0.25">
      <c r="A291" s="144"/>
      <c r="B291" s="148"/>
      <c r="C291" s="93">
        <f t="shared" si="60"/>
        <v>100</v>
      </c>
      <c r="D291" s="197">
        <f t="shared" ca="1" si="61"/>
        <v>17.29750000000012</v>
      </c>
      <c r="E291" s="197">
        <f t="shared" ca="1" si="62"/>
        <v>17.298500000000121</v>
      </c>
      <c r="F291" s="93" t="str">
        <f t="shared" ca="1" si="63"/>
        <v>17.298 to 17.299</v>
      </c>
      <c r="G291" s="97">
        <f ca="1">COUNTIF(SPC!$C$37:$BA$37,"&lt;="&amp;E291)-COUNTIF(SPC!$C$37:$BA$37,"&lt;="&amp;D291)</f>
        <v>0</v>
      </c>
      <c r="H291" s="93">
        <f t="shared" ca="1" si="59"/>
        <v>9.7529883260639062E-30</v>
      </c>
      <c r="I291" s="104"/>
      <c r="J291" s="88"/>
      <c r="K291" s="88"/>
      <c r="L291" s="88"/>
      <c r="M291" s="88"/>
      <c r="N291" s="88"/>
      <c r="O291" s="88"/>
      <c r="P291" s="88"/>
      <c r="Q291" s="88"/>
      <c r="R291" s="88"/>
      <c r="S291" s="88"/>
      <c r="T291" s="88"/>
      <c r="U291" s="88"/>
      <c r="V291" s="88"/>
      <c r="W291" s="143"/>
      <c r="X291" s="12"/>
      <c r="Y291" s="12"/>
    </row>
    <row r="292" spans="1:25" x14ac:dyDescent="0.25">
      <c r="A292" s="144"/>
      <c r="B292" s="148"/>
      <c r="C292" s="93">
        <f t="shared" si="60"/>
        <v>101</v>
      </c>
      <c r="D292" s="197">
        <f t="shared" ca="1" si="61"/>
        <v>17.298500000000121</v>
      </c>
      <c r="E292" s="197">
        <f t="shared" ca="1" si="62"/>
        <v>17.299500000000123</v>
      </c>
      <c r="F292" s="93" t="str">
        <f t="shared" ca="1" si="63"/>
        <v>17.299 to 17.300</v>
      </c>
      <c r="G292" s="97">
        <f ca="1">COUNTIF(SPC!$C$37:$BA$37,"&lt;="&amp;E292)-COUNTIF(SPC!$C$37:$BA$37,"&lt;="&amp;D292)</f>
        <v>0</v>
      </c>
      <c r="H292" s="93">
        <f t="shared" ca="1" si="59"/>
        <v>1.22596866510839E-30</v>
      </c>
      <c r="I292" s="104"/>
      <c r="J292" s="88"/>
      <c r="K292" s="88"/>
      <c r="L292" s="88"/>
      <c r="M292" s="88"/>
      <c r="N292" s="88"/>
      <c r="O292" s="88"/>
      <c r="P292" s="88"/>
      <c r="Q292" s="88"/>
      <c r="R292" s="88"/>
      <c r="S292" s="88"/>
      <c r="T292" s="88"/>
      <c r="U292" s="88"/>
      <c r="V292" s="88"/>
      <c r="W292" s="143"/>
      <c r="X292" s="12"/>
      <c r="Y292" s="12"/>
    </row>
    <row r="293" spans="1:25" x14ac:dyDescent="0.25">
      <c r="A293" s="144"/>
      <c r="B293" s="148"/>
      <c r="C293" s="93">
        <f t="shared" si="60"/>
        <v>102</v>
      </c>
      <c r="D293" s="197">
        <f t="shared" ca="1" si="61"/>
        <v>17.299500000000123</v>
      </c>
      <c r="E293" s="197">
        <f t="shared" ca="1" si="62"/>
        <v>17.300500000000124</v>
      </c>
      <c r="F293" s="93" t="str">
        <f t="shared" ca="1" si="63"/>
        <v>17.300 to 17.301</v>
      </c>
      <c r="G293" s="97">
        <f ca="1">COUNTIF(SPC!$C$37:$BA$37,"&lt;="&amp;E293)-COUNTIF(SPC!$C$37:$BA$37,"&lt;="&amp;D293)</f>
        <v>0</v>
      </c>
      <c r="H293" s="93">
        <f t="shared" ca="1" si="59"/>
        <v>1.49576002752313E-31</v>
      </c>
      <c r="I293" s="104"/>
      <c r="J293" s="88"/>
      <c r="K293" s="88"/>
      <c r="L293" s="88"/>
      <c r="M293" s="88"/>
      <c r="N293" s="88"/>
      <c r="O293" s="88"/>
      <c r="P293" s="88"/>
      <c r="Q293" s="88"/>
      <c r="R293" s="88"/>
      <c r="S293" s="88"/>
      <c r="T293" s="88"/>
      <c r="U293" s="88"/>
      <c r="V293" s="88"/>
      <c r="W293" s="143"/>
      <c r="X293" s="12"/>
      <c r="Y293" s="12"/>
    </row>
    <row r="294" spans="1:25" x14ac:dyDescent="0.25">
      <c r="A294" s="144"/>
      <c r="B294" s="148"/>
      <c r="C294" s="93">
        <f t="shared" si="60"/>
        <v>103</v>
      </c>
      <c r="D294" s="197">
        <f t="shared" ca="1" si="61"/>
        <v>17.300500000000124</v>
      </c>
      <c r="E294" s="197">
        <f t="shared" ca="1" si="62"/>
        <v>17.301500000000125</v>
      </c>
      <c r="F294" s="93" t="str">
        <f t="shared" ca="1" si="63"/>
        <v>17.301 to 17.302</v>
      </c>
      <c r="G294" s="97">
        <f ca="1">COUNTIF(SPC!$C$37:$BA$37,"&lt;="&amp;E294)-COUNTIF(SPC!$C$37:$BA$37,"&lt;="&amp;D294)</f>
        <v>0</v>
      </c>
      <c r="H294" s="93">
        <f t="shared" ca="1" si="59"/>
        <v>1.7712724316123631E-32</v>
      </c>
      <c r="I294" s="104"/>
      <c r="J294" s="88"/>
      <c r="K294" s="88"/>
      <c r="L294" s="88"/>
      <c r="M294" s="88"/>
      <c r="N294" s="88"/>
      <c r="O294" s="88"/>
      <c r="P294" s="88"/>
      <c r="Q294" s="88"/>
      <c r="R294" s="88"/>
      <c r="S294" s="88"/>
      <c r="T294" s="88"/>
      <c r="U294" s="88"/>
      <c r="V294" s="88"/>
      <c r="W294" s="143"/>
      <c r="X294" s="12"/>
      <c r="Y294" s="12"/>
    </row>
    <row r="295" spans="1:25" x14ac:dyDescent="0.25">
      <c r="A295" s="144"/>
      <c r="B295" s="148"/>
      <c r="C295" s="93">
        <f t="shared" si="60"/>
        <v>104</v>
      </c>
      <c r="D295" s="197">
        <f t="shared" ca="1" si="61"/>
        <v>17.301500000000125</v>
      </c>
      <c r="E295" s="197">
        <f t="shared" ca="1" si="62"/>
        <v>17.302500000000126</v>
      </c>
      <c r="F295" s="93" t="str">
        <f t="shared" ca="1" si="63"/>
        <v>17.302 to 17.303</v>
      </c>
      <c r="G295" s="97">
        <f ca="1">COUNTIF(SPC!$C$37:$BA$37,"&lt;="&amp;E295)-COUNTIF(SPC!$C$37:$BA$37,"&lt;="&amp;D295)</f>
        <v>0</v>
      </c>
      <c r="H295" s="93">
        <f t="shared" ca="1" si="59"/>
        <v>2.0358683498170469E-33</v>
      </c>
      <c r="I295" s="104"/>
      <c r="J295" s="88"/>
      <c r="K295" s="88"/>
      <c r="L295" s="88"/>
      <c r="M295" s="88"/>
      <c r="N295" s="88"/>
      <c r="O295" s="88"/>
      <c r="P295" s="88"/>
      <c r="Q295" s="88"/>
      <c r="R295" s="88"/>
      <c r="S295" s="88"/>
      <c r="T295" s="88"/>
      <c r="U295" s="88"/>
      <c r="V295" s="88"/>
      <c r="W295" s="143"/>
      <c r="X295" s="12"/>
      <c r="Y295" s="12"/>
    </row>
    <row r="296" spans="1:25" x14ac:dyDescent="0.25">
      <c r="A296" s="144"/>
      <c r="B296" s="148"/>
      <c r="C296" s="93">
        <f t="shared" si="60"/>
        <v>105</v>
      </c>
      <c r="D296" s="197">
        <f t="shared" ca="1" si="61"/>
        <v>17.302500000000126</v>
      </c>
      <c r="E296" s="197">
        <f t="shared" ca="1" si="62"/>
        <v>17.303500000000128</v>
      </c>
      <c r="F296" s="93" t="str">
        <f t="shared" ca="1" si="63"/>
        <v>17.303 to 17.304</v>
      </c>
      <c r="G296" s="97">
        <f ca="1">COUNTIF(SPC!$C$37:$BA$37,"&lt;="&amp;E296)-COUNTIF(SPC!$C$37:$BA$37,"&lt;="&amp;D296)</f>
        <v>0</v>
      </c>
      <c r="H296" s="93">
        <f t="shared" ca="1" si="59"/>
        <v>2.2711975212770432E-34</v>
      </c>
      <c r="I296" s="104"/>
      <c r="J296" s="88"/>
      <c r="K296" s="88"/>
      <c r="L296" s="88"/>
      <c r="M296" s="88"/>
      <c r="N296" s="88"/>
      <c r="O296" s="88"/>
      <c r="P296" s="88"/>
      <c r="Q296" s="88"/>
      <c r="R296" s="88"/>
      <c r="S296" s="88"/>
      <c r="T296" s="88"/>
      <c r="U296" s="88"/>
      <c r="V296" s="88"/>
      <c r="W296" s="143"/>
      <c r="X296" s="12"/>
      <c r="Y296" s="12"/>
    </row>
    <row r="297" spans="1:25" x14ac:dyDescent="0.25">
      <c r="A297" s="144"/>
      <c r="B297" s="148"/>
      <c r="C297" s="93">
        <f t="shared" si="60"/>
        <v>106</v>
      </c>
      <c r="D297" s="197">
        <f t="shared" ca="1" si="61"/>
        <v>17.303500000000128</v>
      </c>
      <c r="E297" s="197">
        <f t="shared" ca="1" si="62"/>
        <v>17.304500000000129</v>
      </c>
      <c r="F297" s="93" t="str">
        <f t="shared" ca="1" si="63"/>
        <v>17.304 to 17.305</v>
      </c>
      <c r="G297" s="97">
        <f ca="1">COUNTIF(SPC!$C$37:$BA$37,"&lt;="&amp;E297)-COUNTIF(SPC!$C$37:$BA$37,"&lt;="&amp;D297)</f>
        <v>0</v>
      </c>
      <c r="H297" s="93">
        <f t="shared" ca="1" si="59"/>
        <v>2.4592405294804993E-35</v>
      </c>
      <c r="I297" s="104"/>
      <c r="J297" s="88"/>
      <c r="K297" s="88"/>
      <c r="L297" s="88"/>
      <c r="M297" s="88"/>
      <c r="N297" s="88"/>
      <c r="O297" s="88"/>
      <c r="P297" s="88"/>
      <c r="Q297" s="88"/>
      <c r="R297" s="88"/>
      <c r="S297" s="88"/>
      <c r="T297" s="88"/>
      <c r="U297" s="88"/>
      <c r="V297" s="88"/>
      <c r="W297" s="143"/>
      <c r="X297" s="12"/>
      <c r="Y297" s="12"/>
    </row>
    <row r="298" spans="1:25" x14ac:dyDescent="0.25">
      <c r="A298" s="144"/>
      <c r="B298" s="148"/>
      <c r="C298" s="93">
        <f t="shared" si="60"/>
        <v>107</v>
      </c>
      <c r="D298" s="197">
        <f t="shared" ca="1" si="61"/>
        <v>17.304500000000129</v>
      </c>
      <c r="E298" s="197">
        <f t="shared" ca="1" si="62"/>
        <v>17.30550000000013</v>
      </c>
      <c r="F298" s="93" t="str">
        <f t="shared" ca="1" si="63"/>
        <v>17.305 to 17.306</v>
      </c>
      <c r="G298" s="97">
        <f ca="1">COUNTIF(SPC!$C$37:$BA$37,"&lt;="&amp;E298)-COUNTIF(SPC!$C$37:$BA$37,"&lt;="&amp;D298)</f>
        <v>0</v>
      </c>
      <c r="H298" s="93">
        <f t="shared" ca="1" si="59"/>
        <v>2.5845682022930378E-36</v>
      </c>
      <c r="I298" s="104"/>
      <c r="J298" s="88"/>
      <c r="K298" s="88"/>
      <c r="L298" s="88"/>
      <c r="M298" s="88"/>
      <c r="N298" s="88"/>
      <c r="O298" s="88"/>
      <c r="P298" s="88"/>
      <c r="Q298" s="88"/>
      <c r="R298" s="88"/>
      <c r="S298" s="88"/>
      <c r="T298" s="88"/>
      <c r="U298" s="88"/>
      <c r="V298" s="88"/>
      <c r="W298" s="143"/>
      <c r="X298" s="12"/>
      <c r="Y298" s="12"/>
    </row>
    <row r="299" spans="1:25" x14ac:dyDescent="0.25">
      <c r="A299" s="144"/>
      <c r="B299" s="148"/>
      <c r="C299" s="93">
        <f t="shared" si="60"/>
        <v>108</v>
      </c>
      <c r="D299" s="197">
        <f t="shared" ca="1" si="61"/>
        <v>17.30550000000013</v>
      </c>
      <c r="E299" s="197">
        <f t="shared" ca="1" si="62"/>
        <v>17.306500000000131</v>
      </c>
      <c r="F299" s="93" t="str">
        <f t="shared" ca="1" si="63"/>
        <v>17.306 to 17.307</v>
      </c>
      <c r="G299" s="97">
        <f ca="1">COUNTIF(SPC!$C$37:$BA$37,"&lt;="&amp;E299)-COUNTIF(SPC!$C$37:$BA$37,"&lt;="&amp;D299)</f>
        <v>0</v>
      </c>
      <c r="H299" s="93">
        <f t="shared" ca="1" si="59"/>
        <v>2.6364277460039649E-37</v>
      </c>
      <c r="I299" s="104"/>
      <c r="J299" s="88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143"/>
      <c r="X299" s="12"/>
      <c r="Y299" s="12"/>
    </row>
    <row r="300" spans="1:25" x14ac:dyDescent="0.25">
      <c r="A300" s="144"/>
      <c r="B300" s="148"/>
      <c r="C300" s="93">
        <f t="shared" si="60"/>
        <v>109</v>
      </c>
      <c r="D300" s="197">
        <f t="shared" ca="1" si="61"/>
        <v>17.306500000000131</v>
      </c>
      <c r="E300" s="197">
        <f t="shared" ca="1" si="62"/>
        <v>17.307500000000132</v>
      </c>
      <c r="F300" s="93" t="str">
        <f t="shared" ca="1" si="63"/>
        <v>17.307 to 17.308</v>
      </c>
      <c r="G300" s="97">
        <f ca="1">COUNTIF(SPC!$C$37:$BA$37,"&lt;="&amp;E300)-COUNTIF(SPC!$C$37:$BA$37,"&lt;="&amp;D300)</f>
        <v>0</v>
      </c>
      <c r="H300" s="93">
        <f t="shared" ca="1" si="59"/>
        <v>2.6102652241805292E-38</v>
      </c>
      <c r="I300" s="104"/>
      <c r="J300" s="88"/>
      <c r="K300" s="88"/>
      <c r="L300" s="88"/>
      <c r="M300" s="88"/>
      <c r="N300" s="88"/>
      <c r="O300" s="88"/>
      <c r="P300" s="88"/>
      <c r="Q300" s="88"/>
      <c r="R300" s="88"/>
      <c r="S300" s="88"/>
      <c r="T300" s="88"/>
      <c r="U300" s="88"/>
      <c r="V300" s="88"/>
      <c r="W300" s="143"/>
      <c r="X300" s="12"/>
      <c r="Y300" s="12"/>
    </row>
    <row r="301" spans="1:25" x14ac:dyDescent="0.25">
      <c r="A301" s="144"/>
      <c r="B301" s="148"/>
      <c r="C301" s="93">
        <f t="shared" si="60"/>
        <v>110</v>
      </c>
      <c r="D301" s="197">
        <f t="shared" ca="1" si="61"/>
        <v>17.307500000000132</v>
      </c>
      <c r="E301" s="197">
        <f t="shared" ca="1" si="62"/>
        <v>17.308500000000134</v>
      </c>
      <c r="F301" s="93" t="str">
        <f t="shared" ca="1" si="63"/>
        <v>17.308 to 17.309</v>
      </c>
      <c r="G301" s="97">
        <f ca="1">COUNTIF(SPC!$C$37:$BA$37,"&lt;="&amp;E301)-COUNTIF(SPC!$C$37:$BA$37,"&lt;="&amp;D301)</f>
        <v>0</v>
      </c>
      <c r="H301" s="93">
        <f t="shared" ca="1" si="59"/>
        <v>2.5083855402848278E-39</v>
      </c>
      <c r="I301" s="104"/>
      <c r="J301" s="88"/>
      <c r="K301" s="88"/>
      <c r="L301" s="88"/>
      <c r="M301" s="88"/>
      <c r="N301" s="88"/>
      <c r="O301" s="88"/>
      <c r="P301" s="88"/>
      <c r="Q301" s="88"/>
      <c r="R301" s="88"/>
      <c r="S301" s="88"/>
      <c r="T301" s="88"/>
      <c r="U301" s="88"/>
      <c r="V301" s="88"/>
      <c r="W301" s="143"/>
      <c r="X301" s="12"/>
      <c r="Y301" s="12"/>
    </row>
    <row r="302" spans="1:25" x14ac:dyDescent="0.25">
      <c r="A302" s="144"/>
      <c r="B302" s="148"/>
      <c r="C302" s="93">
        <f t="shared" si="60"/>
        <v>111</v>
      </c>
      <c r="D302" s="197">
        <f t="shared" ca="1" si="61"/>
        <v>17.308500000000134</v>
      </c>
      <c r="E302" s="197">
        <f t="shared" ca="1" si="62"/>
        <v>17.309500000000135</v>
      </c>
      <c r="F302" s="93" t="str">
        <f t="shared" ca="1" si="63"/>
        <v>17.309 to 17.310</v>
      </c>
      <c r="G302" s="97">
        <f ca="1">COUNTIF(SPC!$C$37:$BA$37,"&lt;="&amp;E302)-COUNTIF(SPC!$C$37:$BA$37,"&lt;="&amp;D302)</f>
        <v>0</v>
      </c>
      <c r="H302" s="93">
        <f t="shared" ca="1" si="59"/>
        <v>2.3396173161502885E-40</v>
      </c>
      <c r="I302" s="104"/>
      <c r="J302" s="88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143"/>
      <c r="X302" s="12"/>
      <c r="Y302" s="12"/>
    </row>
    <row r="303" spans="1:25" x14ac:dyDescent="0.25">
      <c r="A303" s="144"/>
      <c r="B303" s="148"/>
      <c r="C303" s="93">
        <f t="shared" si="60"/>
        <v>112</v>
      </c>
      <c r="D303" s="197">
        <f t="shared" ca="1" si="61"/>
        <v>17.309500000000135</v>
      </c>
      <c r="E303" s="197">
        <f t="shared" ca="1" si="62"/>
        <v>17.310500000000136</v>
      </c>
      <c r="F303" s="93" t="str">
        <f t="shared" ca="1" si="63"/>
        <v>17.310 to 17.311</v>
      </c>
      <c r="G303" s="97">
        <f ca="1">COUNTIF(SPC!$C$37:$BA$37,"&lt;="&amp;E303)-COUNTIF(SPC!$C$37:$BA$37,"&lt;="&amp;D303)</f>
        <v>0</v>
      </c>
      <c r="H303" s="93">
        <f t="shared" ca="1" si="59"/>
        <v>2.1180502176915744E-41</v>
      </c>
      <c r="I303" s="104"/>
      <c r="J303" s="88"/>
      <c r="K303" s="88"/>
      <c r="L303" s="88"/>
      <c r="M303" s="88"/>
      <c r="N303" s="88"/>
      <c r="O303" s="88"/>
      <c r="P303" s="88"/>
      <c r="Q303" s="88"/>
      <c r="R303" s="88"/>
      <c r="S303" s="88"/>
      <c r="T303" s="88"/>
      <c r="U303" s="88"/>
      <c r="V303" s="88"/>
      <c r="W303" s="143"/>
      <c r="X303" s="12"/>
      <c r="Y303" s="12"/>
    </row>
    <row r="304" spans="1:25" x14ac:dyDescent="0.25">
      <c r="A304" s="144"/>
      <c r="B304" s="148"/>
      <c r="C304" s="93">
        <f t="shared" si="60"/>
        <v>113</v>
      </c>
      <c r="D304" s="197">
        <f t="shared" ca="1" si="61"/>
        <v>17.310500000000136</v>
      </c>
      <c r="E304" s="197">
        <f t="shared" ca="1" si="62"/>
        <v>17.311500000000137</v>
      </c>
      <c r="F304" s="93" t="str">
        <f t="shared" ca="1" si="63"/>
        <v>17.311 to 17.312</v>
      </c>
      <c r="G304" s="97">
        <f ca="1">COUNTIF(SPC!$C$37:$BA$37,"&lt;="&amp;E304)-COUNTIF(SPC!$C$37:$BA$37,"&lt;="&amp;D304)</f>
        <v>0</v>
      </c>
      <c r="H304" s="93">
        <f t="shared" ca="1" si="59"/>
        <v>1.8610951002343056E-42</v>
      </c>
      <c r="I304" s="104"/>
      <c r="J304" s="88"/>
      <c r="K304" s="88"/>
      <c r="L304" s="88"/>
      <c r="M304" s="88"/>
      <c r="N304" s="88"/>
      <c r="O304" s="88"/>
      <c r="P304" s="88"/>
      <c r="Q304" s="88"/>
      <c r="R304" s="88"/>
      <c r="S304" s="88"/>
      <c r="T304" s="88"/>
      <c r="U304" s="88"/>
      <c r="V304" s="88"/>
      <c r="W304" s="143"/>
      <c r="X304" s="12"/>
      <c r="Y304" s="12"/>
    </row>
    <row r="305" spans="1:25" x14ac:dyDescent="0.25">
      <c r="A305" s="144"/>
      <c r="B305" s="148"/>
      <c r="C305" s="93">
        <f t="shared" si="60"/>
        <v>114</v>
      </c>
      <c r="D305" s="197">
        <f t="shared" ca="1" si="61"/>
        <v>17.311500000000137</v>
      </c>
      <c r="E305" s="197">
        <f t="shared" ca="1" si="62"/>
        <v>17.312500000000139</v>
      </c>
      <c r="F305" s="93" t="str">
        <f t="shared" ca="1" si="63"/>
        <v>17.312 to 17.313</v>
      </c>
      <c r="G305" s="97">
        <f ca="1">COUNTIF(SPC!$C$37:$BA$37,"&lt;="&amp;E305)-COUNTIF(SPC!$C$37:$BA$37,"&lt;="&amp;D305)</f>
        <v>0</v>
      </c>
      <c r="H305" s="93">
        <f t="shared" ca="1" si="59"/>
        <v>1.5872369534549201E-43</v>
      </c>
      <c r="I305" s="104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143"/>
      <c r="X305" s="12"/>
      <c r="Y305" s="12"/>
    </row>
    <row r="306" spans="1:25" x14ac:dyDescent="0.25">
      <c r="A306" s="144"/>
      <c r="B306" s="148"/>
      <c r="C306" s="93">
        <f t="shared" si="60"/>
        <v>115</v>
      </c>
      <c r="D306" s="197">
        <f t="shared" ca="1" si="61"/>
        <v>17.312500000000139</v>
      </c>
      <c r="E306" s="197">
        <f t="shared" ca="1" si="62"/>
        <v>17.31350000000014</v>
      </c>
      <c r="F306" s="93" t="str">
        <f t="shared" ca="1" si="63"/>
        <v>17.313 to 17.314</v>
      </c>
      <c r="G306" s="97">
        <f ca="1">COUNTIF(SPC!$C$37:$BA$37,"&lt;="&amp;E306)-COUNTIF(SPC!$C$37:$BA$37,"&lt;="&amp;D306)</f>
        <v>0</v>
      </c>
      <c r="H306" s="93">
        <f t="shared" ca="1" si="59"/>
        <v>1.3138804590570981E-44</v>
      </c>
      <c r="I306" s="104"/>
      <c r="J306" s="88"/>
      <c r="K306" s="88"/>
      <c r="L306" s="88"/>
      <c r="M306" s="88"/>
      <c r="N306" s="88"/>
      <c r="O306" s="88"/>
      <c r="P306" s="88"/>
      <c r="Q306" s="88"/>
      <c r="R306" s="88"/>
      <c r="S306" s="88"/>
      <c r="T306" s="88"/>
      <c r="U306" s="88"/>
      <c r="V306" s="88"/>
      <c r="W306" s="143"/>
      <c r="X306" s="12"/>
      <c r="Y306" s="12"/>
    </row>
    <row r="307" spans="1:25" x14ac:dyDescent="0.25">
      <c r="A307" s="144"/>
      <c r="B307" s="148"/>
      <c r="C307" s="93">
        <f t="shared" si="60"/>
        <v>116</v>
      </c>
      <c r="D307" s="197">
        <f t="shared" ca="1" si="61"/>
        <v>17.31350000000014</v>
      </c>
      <c r="E307" s="197">
        <f t="shared" ca="1" si="62"/>
        <v>17.314500000000141</v>
      </c>
      <c r="F307" s="93" t="str">
        <f t="shared" ca="1" si="63"/>
        <v>17.314 to 17.315</v>
      </c>
      <c r="G307" s="97">
        <f ca="1">COUNTIF(SPC!$C$37:$BA$37,"&lt;="&amp;E307)-COUNTIF(SPC!$C$37:$BA$37,"&lt;="&amp;D307)</f>
        <v>0</v>
      </c>
      <c r="H307" s="93">
        <f t="shared" ca="1" si="59"/>
        <v>1.0556278231180918E-45</v>
      </c>
      <c r="I307" s="104"/>
      <c r="J307" s="88"/>
      <c r="K307" s="88"/>
      <c r="L307" s="88"/>
      <c r="M307" s="88"/>
      <c r="N307" s="88"/>
      <c r="O307" s="88"/>
      <c r="P307" s="88"/>
      <c r="Q307" s="88"/>
      <c r="R307" s="88"/>
      <c r="S307" s="88"/>
      <c r="T307" s="88"/>
      <c r="U307" s="88"/>
      <c r="V307" s="88"/>
      <c r="W307" s="143"/>
      <c r="X307" s="12"/>
      <c r="Y307" s="12"/>
    </row>
    <row r="308" spans="1:25" x14ac:dyDescent="0.25">
      <c r="A308" s="144"/>
      <c r="B308" s="148"/>
      <c r="C308" s="93">
        <f t="shared" si="60"/>
        <v>117</v>
      </c>
      <c r="D308" s="197">
        <f t="shared" ca="1" si="61"/>
        <v>17.314500000000141</v>
      </c>
      <c r="E308" s="197">
        <f t="shared" ca="1" si="62"/>
        <v>17.315500000000142</v>
      </c>
      <c r="F308" s="93" t="str">
        <f t="shared" ca="1" si="63"/>
        <v>17.315 to 17.316</v>
      </c>
      <c r="G308" s="97">
        <f ca="1">COUNTIF(SPC!$C$37:$BA$37,"&lt;="&amp;E308)-COUNTIF(SPC!$C$37:$BA$37,"&lt;="&amp;D308)</f>
        <v>0</v>
      </c>
      <c r="H308" s="93">
        <f t="shared" ca="1" si="59"/>
        <v>8.2320251856001061E-47</v>
      </c>
      <c r="I308" s="104"/>
      <c r="J308" s="88"/>
      <c r="K308" s="88"/>
      <c r="L308" s="88"/>
      <c r="M308" s="88"/>
      <c r="N308" s="88"/>
      <c r="O308" s="88"/>
      <c r="P308" s="88"/>
      <c r="Q308" s="88"/>
      <c r="R308" s="88"/>
      <c r="S308" s="88"/>
      <c r="T308" s="88"/>
      <c r="U308" s="88"/>
      <c r="V308" s="88"/>
      <c r="W308" s="143"/>
      <c r="X308" s="12"/>
      <c r="Y308" s="12"/>
    </row>
    <row r="309" spans="1:25" x14ac:dyDescent="0.25">
      <c r="A309" s="144"/>
      <c r="B309" s="148"/>
      <c r="C309" s="93">
        <f t="shared" si="60"/>
        <v>118</v>
      </c>
      <c r="D309" s="197">
        <f t="shared" ca="1" si="61"/>
        <v>17.315500000000142</v>
      </c>
      <c r="E309" s="197">
        <f t="shared" ca="1" si="62"/>
        <v>17.316500000000143</v>
      </c>
      <c r="F309" s="93" t="str">
        <f t="shared" ca="1" si="63"/>
        <v>17.316 to 17.317</v>
      </c>
      <c r="G309" s="97">
        <f ca="1">COUNTIF(SPC!$C$37:$BA$37,"&lt;="&amp;E309)-COUNTIF(SPC!$C$37:$BA$37,"&lt;="&amp;D309)</f>
        <v>0</v>
      </c>
      <c r="H309" s="93">
        <f t="shared" ca="1" si="59"/>
        <v>6.2307946716667434E-48</v>
      </c>
      <c r="I309" s="104"/>
      <c r="J309" s="88"/>
      <c r="K309" s="88"/>
      <c r="L309" s="88"/>
      <c r="M309" s="88"/>
      <c r="N309" s="88"/>
      <c r="O309" s="88"/>
      <c r="P309" s="88"/>
      <c r="Q309" s="88"/>
      <c r="R309" s="88"/>
      <c r="S309" s="88"/>
      <c r="T309" s="88"/>
      <c r="U309" s="88"/>
      <c r="V309" s="88"/>
      <c r="W309" s="143"/>
      <c r="X309" s="12"/>
      <c r="Y309" s="12"/>
    </row>
    <row r="310" spans="1:25" x14ac:dyDescent="0.25">
      <c r="A310" s="144"/>
      <c r="B310" s="148"/>
      <c r="C310" s="93">
        <f t="shared" si="60"/>
        <v>119</v>
      </c>
      <c r="D310" s="197">
        <f t="shared" ca="1" si="61"/>
        <v>17.316500000000143</v>
      </c>
      <c r="E310" s="197">
        <f t="shared" ca="1" si="62"/>
        <v>17.317500000000145</v>
      </c>
      <c r="F310" s="93" t="str">
        <f t="shared" ca="1" si="63"/>
        <v>17.317 to 17.318</v>
      </c>
      <c r="G310" s="97">
        <f ca="1">COUNTIF(SPC!$C$37:$BA$37,"&lt;="&amp;E310)-COUNTIF(SPC!$C$37:$BA$37,"&lt;="&amp;D310)</f>
        <v>0</v>
      </c>
      <c r="H310" s="93">
        <f t="shared" ca="1" si="59"/>
        <v>4.5774233058401006E-49</v>
      </c>
      <c r="I310" s="104"/>
      <c r="J310" s="88"/>
      <c r="K310" s="88"/>
      <c r="L310" s="88"/>
      <c r="M310" s="88"/>
      <c r="N310" s="88"/>
      <c r="O310" s="88"/>
      <c r="P310" s="88"/>
      <c r="Q310" s="88"/>
      <c r="R310" s="88"/>
      <c r="S310" s="88"/>
      <c r="T310" s="88"/>
      <c r="U310" s="88"/>
      <c r="V310" s="88"/>
      <c r="W310" s="143"/>
      <c r="X310" s="12"/>
      <c r="Y310" s="12"/>
    </row>
    <row r="311" spans="1:25" x14ac:dyDescent="0.25">
      <c r="A311" s="144"/>
      <c r="B311" s="148"/>
      <c r="C311" s="93">
        <f t="shared" si="60"/>
        <v>120</v>
      </c>
      <c r="D311" s="197">
        <f t="shared" ca="1" si="61"/>
        <v>17.317500000000145</v>
      </c>
      <c r="E311" s="197">
        <f t="shared" ca="1" si="62"/>
        <v>17.318500000000146</v>
      </c>
      <c r="F311" s="93" t="str">
        <f t="shared" ca="1" si="63"/>
        <v>17.318 to 17.319</v>
      </c>
      <c r="G311" s="97">
        <f ca="1">COUNTIF(SPC!$C$37:$BA$37,"&lt;="&amp;E311)-COUNTIF(SPC!$C$37:$BA$37,"&lt;="&amp;D311)</f>
        <v>0</v>
      </c>
      <c r="H311" s="93">
        <f t="shared" ca="1" si="59"/>
        <v>3.2639207134203276E-50</v>
      </c>
      <c r="I311" s="104"/>
      <c r="J311" s="88"/>
      <c r="K311" s="88"/>
      <c r="L311" s="88"/>
      <c r="M311" s="88"/>
      <c r="N311" s="88"/>
      <c r="O311" s="88"/>
      <c r="P311" s="88"/>
      <c r="Q311" s="88"/>
      <c r="R311" s="88"/>
      <c r="S311" s="88"/>
      <c r="T311" s="88"/>
      <c r="U311" s="88"/>
      <c r="V311" s="88"/>
      <c r="W311" s="143"/>
      <c r="X311" s="12"/>
      <c r="Y311" s="12"/>
    </row>
    <row r="312" spans="1:25" x14ac:dyDescent="0.25">
      <c r="A312" s="144"/>
      <c r="B312" s="148"/>
      <c r="C312" s="93">
        <f t="shared" si="60"/>
        <v>121</v>
      </c>
      <c r="D312" s="197">
        <f t="shared" ca="1" si="61"/>
        <v>17.318500000000146</v>
      </c>
      <c r="E312" s="197">
        <f t="shared" ca="1" si="62"/>
        <v>17.319500000000147</v>
      </c>
      <c r="F312" s="93" t="str">
        <f t="shared" ca="1" si="63"/>
        <v>17.319 to 17.320</v>
      </c>
      <c r="G312" s="97">
        <f ca="1">COUNTIF(SPC!$C$37:$BA$37,"&lt;="&amp;E312)-COUNTIF(SPC!$C$37:$BA$37,"&lt;="&amp;D312)</f>
        <v>0</v>
      </c>
      <c r="H312" s="93">
        <f t="shared" ca="1" si="59"/>
        <v>2.2589104348349129E-51</v>
      </c>
      <c r="I312" s="104"/>
      <c r="J312" s="88"/>
      <c r="K312" s="88"/>
      <c r="L312" s="88"/>
      <c r="M312" s="88"/>
      <c r="N312" s="88"/>
      <c r="O312" s="88"/>
      <c r="P312" s="88"/>
      <c r="Q312" s="88"/>
      <c r="R312" s="88"/>
      <c r="S312" s="88"/>
      <c r="T312" s="88"/>
      <c r="U312" s="88"/>
      <c r="V312" s="88"/>
      <c r="W312" s="143"/>
      <c r="X312" s="12"/>
      <c r="Y312" s="12"/>
    </row>
    <row r="313" spans="1:25" x14ac:dyDescent="0.25">
      <c r="A313" s="144"/>
      <c r="B313" s="148"/>
      <c r="C313" s="93">
        <f t="shared" si="60"/>
        <v>122</v>
      </c>
      <c r="D313" s="197">
        <f t="shared" ca="1" si="61"/>
        <v>17.319500000000147</v>
      </c>
      <c r="E313" s="197">
        <f t="shared" ca="1" si="62"/>
        <v>17.320500000000148</v>
      </c>
      <c r="F313" s="93" t="str">
        <f t="shared" ca="1" si="63"/>
        <v>17.320 to 17.321</v>
      </c>
      <c r="G313" s="97">
        <f ca="1">COUNTIF(SPC!$C$37:$BA$37,"&lt;="&amp;E313)-COUNTIF(SPC!$C$37:$BA$37,"&lt;="&amp;D313)</f>
        <v>0</v>
      </c>
      <c r="H313" s="93">
        <f t="shared" ca="1" si="59"/>
        <v>1.5173973108985312E-52</v>
      </c>
      <c r="I313" s="104"/>
      <c r="J313" s="88"/>
      <c r="K313" s="88"/>
      <c r="L313" s="88"/>
      <c r="M313" s="88"/>
      <c r="N313" s="88"/>
      <c r="O313" s="88"/>
      <c r="P313" s="88"/>
      <c r="Q313" s="88"/>
      <c r="R313" s="88"/>
      <c r="S313" s="88"/>
      <c r="T313" s="88"/>
      <c r="U313" s="88"/>
      <c r="V313" s="88"/>
      <c r="W313" s="143"/>
      <c r="X313" s="12"/>
      <c r="Y313" s="12"/>
    </row>
    <row r="314" spans="1:25" x14ac:dyDescent="0.25">
      <c r="A314" s="144"/>
      <c r="B314" s="148"/>
      <c r="C314" s="93">
        <f t="shared" si="60"/>
        <v>123</v>
      </c>
      <c r="D314" s="197">
        <f t="shared" ca="1" si="61"/>
        <v>17.320500000000148</v>
      </c>
      <c r="E314" s="197">
        <f t="shared" ca="1" si="62"/>
        <v>17.32150000000015</v>
      </c>
      <c r="F314" s="93" t="str">
        <f t="shared" ca="1" si="63"/>
        <v>17.321 to 17.322</v>
      </c>
      <c r="G314" s="97">
        <f ca="1">COUNTIF(SPC!$C$37:$BA$37,"&lt;="&amp;E314)-COUNTIF(SPC!$C$37:$BA$37,"&lt;="&amp;D314)</f>
        <v>0</v>
      </c>
      <c r="H314" s="93">
        <f t="shared" ca="1" si="59"/>
        <v>9.893284445746345E-54</v>
      </c>
      <c r="I314" s="104"/>
      <c r="J314" s="88"/>
      <c r="K314" s="88"/>
      <c r="L314" s="88"/>
      <c r="M314" s="88"/>
      <c r="N314" s="88"/>
      <c r="O314" s="88"/>
      <c r="P314" s="88"/>
      <c r="Q314" s="88"/>
      <c r="R314" s="88"/>
      <c r="S314" s="88"/>
      <c r="T314" s="88"/>
      <c r="U314" s="88"/>
      <c r="V314" s="88"/>
      <c r="W314" s="143"/>
      <c r="X314" s="12"/>
      <c r="Y314" s="12"/>
    </row>
    <row r="315" spans="1:25" x14ac:dyDescent="0.25">
      <c r="A315" s="144"/>
      <c r="B315" s="148"/>
      <c r="C315" s="93">
        <f t="shared" si="60"/>
        <v>124</v>
      </c>
      <c r="D315" s="197">
        <f t="shared" ca="1" si="61"/>
        <v>17.32150000000015</v>
      </c>
      <c r="E315" s="197">
        <f t="shared" ca="1" si="62"/>
        <v>17.322500000000151</v>
      </c>
      <c r="F315" s="93" t="str">
        <f t="shared" ca="1" si="63"/>
        <v>17.322 to 17.323</v>
      </c>
      <c r="G315" s="97">
        <f ca="1">COUNTIF(SPC!$C$37:$BA$37,"&lt;="&amp;E315)-COUNTIF(SPC!$C$37:$BA$37,"&lt;="&amp;D315)</f>
        <v>0</v>
      </c>
      <c r="H315" s="93">
        <f t="shared" ca="1" si="59"/>
        <v>6.2606953160676489E-55</v>
      </c>
      <c r="I315" s="104"/>
      <c r="J315" s="88"/>
      <c r="K315" s="88"/>
      <c r="L315" s="88"/>
      <c r="M315" s="88"/>
      <c r="N315" s="88"/>
      <c r="O315" s="88"/>
      <c r="P315" s="88"/>
      <c r="Q315" s="88"/>
      <c r="R315" s="88"/>
      <c r="S315" s="88"/>
      <c r="T315" s="88"/>
      <c r="U315" s="88"/>
      <c r="V315" s="88"/>
      <c r="W315" s="143"/>
      <c r="X315" s="12"/>
      <c r="Y315" s="12"/>
    </row>
    <row r="316" spans="1:25" x14ac:dyDescent="0.25">
      <c r="A316" s="144"/>
      <c r="B316" s="148"/>
      <c r="C316" s="93">
        <f t="shared" si="60"/>
        <v>125</v>
      </c>
      <c r="D316" s="197">
        <f t="shared" ca="1" si="61"/>
        <v>17.322500000000151</v>
      </c>
      <c r="E316" s="197">
        <f t="shared" ca="1" si="62"/>
        <v>17.323500000000152</v>
      </c>
      <c r="F316" s="93" t="str">
        <f t="shared" ca="1" si="63"/>
        <v>17.323 to 17.324</v>
      </c>
      <c r="G316" s="97">
        <f ca="1">COUNTIF(SPC!$C$37:$BA$37,"&lt;="&amp;E316)-COUNTIF(SPC!$C$37:$BA$37,"&lt;="&amp;D316)</f>
        <v>0</v>
      </c>
      <c r="H316" s="93">
        <f t="shared" ca="1" si="59"/>
        <v>3.8454354812938117E-56</v>
      </c>
      <c r="I316" s="104"/>
      <c r="J316" s="88"/>
      <c r="K316" s="88"/>
      <c r="L316" s="88"/>
      <c r="M316" s="88"/>
      <c r="N316" s="88"/>
      <c r="O316" s="88"/>
      <c r="P316" s="88"/>
      <c r="Q316" s="88"/>
      <c r="R316" s="88"/>
      <c r="S316" s="88"/>
      <c r="T316" s="88"/>
      <c r="U316" s="88"/>
      <c r="V316" s="88"/>
      <c r="W316" s="143"/>
      <c r="X316" s="12"/>
      <c r="Y316" s="12"/>
    </row>
    <row r="317" spans="1:25" x14ac:dyDescent="0.25">
      <c r="A317" s="144"/>
      <c r="B317" s="148"/>
      <c r="C317" s="93">
        <f t="shared" si="60"/>
        <v>126</v>
      </c>
      <c r="D317" s="197">
        <f t="shared" ca="1" si="61"/>
        <v>17.323500000000152</v>
      </c>
      <c r="E317" s="197">
        <f t="shared" ca="1" si="62"/>
        <v>17.324500000000153</v>
      </c>
      <c r="F317" s="93" t="str">
        <f t="shared" ca="1" si="63"/>
        <v>17.324 to 17.325</v>
      </c>
      <c r="G317" s="97">
        <f ca="1">COUNTIF(SPC!$C$37:$BA$37,"&lt;="&amp;E317)-COUNTIF(SPC!$C$37:$BA$37,"&lt;="&amp;D317)</f>
        <v>0</v>
      </c>
      <c r="H317" s="93">
        <f t="shared" ca="1" si="59"/>
        <v>2.2925001710052715E-57</v>
      </c>
      <c r="I317" s="104"/>
      <c r="J317" s="88"/>
      <c r="K317" s="88"/>
      <c r="L317" s="88"/>
      <c r="M317" s="88"/>
      <c r="N317" s="88"/>
      <c r="O317" s="88"/>
      <c r="P317" s="88"/>
      <c r="Q317" s="88"/>
      <c r="R317" s="88"/>
      <c r="S317" s="88"/>
      <c r="T317" s="88"/>
      <c r="U317" s="88"/>
      <c r="V317" s="88"/>
      <c r="W317" s="143"/>
      <c r="X317" s="12"/>
      <c r="Y317" s="12"/>
    </row>
    <row r="318" spans="1:25" x14ac:dyDescent="0.25">
      <c r="A318" s="144"/>
      <c r="B318" s="148"/>
      <c r="C318" s="93">
        <f t="shared" si="60"/>
        <v>127</v>
      </c>
      <c r="D318" s="197">
        <f t="shared" ca="1" si="61"/>
        <v>17.324500000000153</v>
      </c>
      <c r="E318" s="197">
        <f t="shared" ca="1" si="62"/>
        <v>17.325500000000154</v>
      </c>
      <c r="F318" s="93" t="str">
        <f t="shared" ca="1" si="63"/>
        <v>17.325 to 17.326</v>
      </c>
      <c r="G318" s="97">
        <f ca="1">COUNTIF(SPC!$C$37:$BA$37,"&lt;="&amp;E318)-COUNTIF(SPC!$C$37:$BA$37,"&lt;="&amp;D318)</f>
        <v>0</v>
      </c>
      <c r="H318" s="93">
        <f t="shared" ca="1" si="59"/>
        <v>1.3265209448879207E-58</v>
      </c>
      <c r="I318" s="104"/>
      <c r="J318" s="88"/>
      <c r="K318" s="88"/>
      <c r="L318" s="88"/>
      <c r="M318" s="88"/>
      <c r="N318" s="88"/>
      <c r="O318" s="88"/>
      <c r="P318" s="88"/>
      <c r="Q318" s="88"/>
      <c r="R318" s="88"/>
      <c r="S318" s="88"/>
      <c r="T318" s="88"/>
      <c r="U318" s="88"/>
      <c r="V318" s="88"/>
      <c r="W318" s="143"/>
    </row>
    <row r="319" spans="1:25" x14ac:dyDescent="0.25">
      <c r="A319" s="144"/>
      <c r="B319" s="148"/>
      <c r="C319" s="93">
        <f t="shared" si="60"/>
        <v>128</v>
      </c>
      <c r="D319" s="197">
        <f t="shared" ca="1" si="61"/>
        <v>17.325500000000154</v>
      </c>
      <c r="E319" s="197">
        <f t="shared" ca="1" si="62"/>
        <v>17.326500000000156</v>
      </c>
      <c r="F319" s="93" t="str">
        <f t="shared" ca="1" si="63"/>
        <v>17.326 to 17.327</v>
      </c>
      <c r="G319" s="97">
        <f ca="1">COUNTIF(SPC!$C$37:$BA$37,"&lt;="&amp;E319)-COUNTIF(SPC!$C$37:$BA$37,"&lt;="&amp;D319)</f>
        <v>0</v>
      </c>
      <c r="H319" s="93">
        <f t="shared" ref="H319:H341" ca="1" si="64">IF(G$181&lt;&gt;0,NORMDIST(D$189+C319*D$188-D$188/2,D$182,G$181,FALSE),D319)</f>
        <v>7.4500593707091033E-60</v>
      </c>
      <c r="I319" s="104"/>
      <c r="J319" s="88"/>
      <c r="K319" s="88"/>
      <c r="L319" s="88"/>
      <c r="M319" s="88"/>
      <c r="N319" s="88"/>
      <c r="O319" s="88"/>
      <c r="P319" s="88"/>
      <c r="Q319" s="88"/>
      <c r="R319" s="88"/>
      <c r="S319" s="88"/>
      <c r="T319" s="88"/>
      <c r="U319" s="88"/>
      <c r="V319" s="88"/>
      <c r="W319" s="143"/>
    </row>
    <row r="320" spans="1:25" x14ac:dyDescent="0.25">
      <c r="A320" s="144"/>
      <c r="B320" s="148"/>
      <c r="C320" s="93">
        <f t="shared" ref="C320:C341" si="65">C319+1</f>
        <v>129</v>
      </c>
      <c r="D320" s="197">
        <f t="shared" ref="D320:D341" ca="1" si="66">E319</f>
        <v>17.326500000000156</v>
      </c>
      <c r="E320" s="197">
        <f t="shared" ref="E320:E341" ca="1" si="67">D320+$D$188</f>
        <v>17.327500000000157</v>
      </c>
      <c r="F320" s="93" t="str">
        <f t="shared" ref="F320:F341" ca="1" si="68">FIXED(D320,$E$180)&amp;" to "&amp;FIXED(E320,$E$180)</f>
        <v>17.327 to 17.328</v>
      </c>
      <c r="G320" s="97">
        <f ca="1">COUNTIF(SPC!$C$37:$BA$37,"&lt;="&amp;E320)-COUNTIF(SPC!$C$37:$BA$37,"&lt;="&amp;D320)</f>
        <v>0</v>
      </c>
      <c r="H320" s="93">
        <f t="shared" ca="1" si="64"/>
        <v>4.0611239339914968E-61</v>
      </c>
      <c r="I320" s="104"/>
      <c r="J320" s="88"/>
      <c r="K320" s="88"/>
      <c r="L320" s="88"/>
      <c r="M320" s="88"/>
      <c r="N320" s="88"/>
      <c r="O320" s="88"/>
      <c r="P320" s="88"/>
      <c r="Q320" s="88"/>
      <c r="R320" s="88"/>
      <c r="S320" s="88"/>
      <c r="T320" s="88"/>
      <c r="U320" s="88"/>
      <c r="V320" s="88"/>
      <c r="W320" s="143"/>
    </row>
    <row r="321" spans="1:23" x14ac:dyDescent="0.25">
      <c r="A321" s="144"/>
      <c r="B321" s="148"/>
      <c r="C321" s="93">
        <f t="shared" si="65"/>
        <v>130</v>
      </c>
      <c r="D321" s="197">
        <f t="shared" ca="1" si="66"/>
        <v>17.327500000000157</v>
      </c>
      <c r="E321" s="197">
        <f t="shared" ca="1" si="67"/>
        <v>17.328500000000158</v>
      </c>
      <c r="F321" s="93" t="str">
        <f t="shared" ca="1" si="68"/>
        <v>17.328 to 17.329</v>
      </c>
      <c r="G321" s="97">
        <f ca="1">COUNTIF(SPC!$C$37:$BA$37,"&lt;="&amp;E321)-COUNTIF(SPC!$C$37:$BA$37,"&lt;="&amp;D321)</f>
        <v>0</v>
      </c>
      <c r="H321" s="93">
        <f t="shared" ca="1" si="64"/>
        <v>2.148689392367888E-62</v>
      </c>
      <c r="I321" s="104"/>
      <c r="J321" s="88"/>
      <c r="K321" s="88"/>
      <c r="L321" s="88"/>
      <c r="M321" s="88"/>
      <c r="N321" s="88"/>
      <c r="O321" s="88"/>
      <c r="P321" s="88"/>
      <c r="Q321" s="88"/>
      <c r="R321" s="88"/>
      <c r="S321" s="88"/>
      <c r="T321" s="88"/>
      <c r="U321" s="88"/>
      <c r="V321" s="88"/>
      <c r="W321" s="143"/>
    </row>
    <row r="322" spans="1:23" x14ac:dyDescent="0.25">
      <c r="A322" s="144"/>
      <c r="B322" s="148"/>
      <c r="C322" s="93">
        <f t="shared" si="65"/>
        <v>131</v>
      </c>
      <c r="D322" s="197">
        <f t="shared" ca="1" si="66"/>
        <v>17.328500000000158</v>
      </c>
      <c r="E322" s="197">
        <f t="shared" ca="1" si="67"/>
        <v>17.329500000000159</v>
      </c>
      <c r="F322" s="93" t="str">
        <f t="shared" ca="1" si="68"/>
        <v>17.329 to 17.330</v>
      </c>
      <c r="G322" s="97">
        <f ca="1">COUNTIF(SPC!$C$37:$BA$37,"&lt;="&amp;E322)-COUNTIF(SPC!$C$37:$BA$37,"&lt;="&amp;D322)</f>
        <v>0</v>
      </c>
      <c r="H322" s="93">
        <f t="shared" ca="1" si="64"/>
        <v>1.1034227243874042E-63</v>
      </c>
      <c r="I322" s="104"/>
      <c r="J322" s="88"/>
      <c r="K322" s="88"/>
      <c r="L322" s="88"/>
      <c r="M322" s="88"/>
      <c r="N322" s="88"/>
      <c r="O322" s="88"/>
      <c r="P322" s="88"/>
      <c r="Q322" s="88"/>
      <c r="R322" s="88"/>
      <c r="S322" s="88"/>
      <c r="T322" s="88"/>
      <c r="U322" s="88"/>
      <c r="V322" s="88"/>
      <c r="W322" s="143"/>
    </row>
    <row r="323" spans="1:23" x14ac:dyDescent="0.25">
      <c r="A323" s="144"/>
      <c r="B323" s="148"/>
      <c r="C323" s="93">
        <f t="shared" si="65"/>
        <v>132</v>
      </c>
      <c r="D323" s="197">
        <f t="shared" ca="1" si="66"/>
        <v>17.329500000000159</v>
      </c>
      <c r="E323" s="197">
        <f t="shared" ca="1" si="67"/>
        <v>17.330500000000161</v>
      </c>
      <c r="F323" s="93" t="str">
        <f t="shared" ca="1" si="68"/>
        <v>17.330 to 17.331</v>
      </c>
      <c r="G323" s="97">
        <f ca="1">COUNTIF(SPC!$C$37:$BA$37,"&lt;="&amp;E323)-COUNTIF(SPC!$C$37:$BA$37,"&lt;="&amp;D323)</f>
        <v>0</v>
      </c>
      <c r="H323" s="93">
        <f t="shared" ca="1" si="64"/>
        <v>5.4998531668061189E-65</v>
      </c>
      <c r="I323" s="104"/>
      <c r="J323" s="88"/>
      <c r="K323" s="88"/>
      <c r="L323" s="88"/>
      <c r="M323" s="88"/>
      <c r="N323" s="88"/>
      <c r="O323" s="88"/>
      <c r="P323" s="88"/>
      <c r="Q323" s="88"/>
      <c r="R323" s="88"/>
      <c r="S323" s="88"/>
      <c r="T323" s="88"/>
      <c r="U323" s="88"/>
      <c r="V323" s="88"/>
      <c r="W323" s="143"/>
    </row>
    <row r="324" spans="1:23" x14ac:dyDescent="0.25">
      <c r="A324" s="144"/>
      <c r="B324" s="148"/>
      <c r="C324" s="93">
        <f t="shared" si="65"/>
        <v>133</v>
      </c>
      <c r="D324" s="197">
        <f t="shared" ca="1" si="66"/>
        <v>17.330500000000161</v>
      </c>
      <c r="E324" s="197">
        <f t="shared" ca="1" si="67"/>
        <v>17.331500000000162</v>
      </c>
      <c r="F324" s="93" t="str">
        <f t="shared" ca="1" si="68"/>
        <v>17.331 to 17.332</v>
      </c>
      <c r="G324" s="97">
        <f ca="1">COUNTIF(SPC!$C$37:$BA$37,"&lt;="&amp;E324)-COUNTIF(SPC!$C$37:$BA$37,"&lt;="&amp;D324)</f>
        <v>0</v>
      </c>
      <c r="H324" s="93">
        <f t="shared" ca="1" si="64"/>
        <v>2.6607321268844973E-66</v>
      </c>
      <c r="I324" s="104"/>
      <c r="J324" s="88"/>
      <c r="K324" s="88"/>
      <c r="L324" s="88"/>
      <c r="M324" s="88"/>
      <c r="N324" s="88"/>
      <c r="O324" s="88"/>
      <c r="P324" s="88"/>
      <c r="Q324" s="88"/>
      <c r="R324" s="88"/>
      <c r="S324" s="88"/>
      <c r="T324" s="88"/>
      <c r="U324" s="88"/>
      <c r="V324" s="88"/>
      <c r="W324" s="143"/>
    </row>
    <row r="325" spans="1:23" x14ac:dyDescent="0.25">
      <c r="A325" s="144"/>
      <c r="B325" s="148"/>
      <c r="C325" s="93">
        <f t="shared" si="65"/>
        <v>134</v>
      </c>
      <c r="D325" s="197">
        <f t="shared" ca="1" si="66"/>
        <v>17.331500000000162</v>
      </c>
      <c r="E325" s="197">
        <f t="shared" ca="1" si="67"/>
        <v>17.332500000000163</v>
      </c>
      <c r="F325" s="93" t="str">
        <f t="shared" ca="1" si="68"/>
        <v>17.332 to 17.333</v>
      </c>
      <c r="G325" s="97">
        <f ca="1">COUNTIF(SPC!$C$37:$BA$37,"&lt;="&amp;E325)-COUNTIF(SPC!$C$37:$BA$37,"&lt;="&amp;D325)</f>
        <v>0</v>
      </c>
      <c r="H325" s="93">
        <f t="shared" ca="1" si="64"/>
        <v>1.2493729512645253E-67</v>
      </c>
      <c r="I325" s="104"/>
      <c r="J325" s="88"/>
      <c r="K325" s="88"/>
      <c r="L325" s="88"/>
      <c r="M325" s="88"/>
      <c r="N325" s="88"/>
      <c r="O325" s="88"/>
      <c r="P325" s="88"/>
      <c r="Q325" s="88"/>
      <c r="R325" s="88"/>
      <c r="S325" s="88"/>
      <c r="T325" s="88"/>
      <c r="U325" s="88"/>
      <c r="V325" s="88"/>
      <c r="W325" s="143"/>
    </row>
    <row r="326" spans="1:23" x14ac:dyDescent="0.25">
      <c r="A326" s="144"/>
      <c r="B326" s="148"/>
      <c r="C326" s="93">
        <f t="shared" si="65"/>
        <v>135</v>
      </c>
      <c r="D326" s="197">
        <f t="shared" ca="1" si="66"/>
        <v>17.332500000000163</v>
      </c>
      <c r="E326" s="197">
        <f t="shared" ca="1" si="67"/>
        <v>17.333500000000164</v>
      </c>
      <c r="F326" s="93" t="str">
        <f t="shared" ca="1" si="68"/>
        <v>17.333 to 17.334</v>
      </c>
      <c r="G326" s="97">
        <f ca="1">COUNTIF(SPC!$C$37:$BA$37,"&lt;="&amp;E326)-COUNTIF(SPC!$C$37:$BA$37,"&lt;="&amp;D326)</f>
        <v>0</v>
      </c>
      <c r="H326" s="93">
        <f t="shared" ca="1" si="64"/>
        <v>5.6940848224021665E-69</v>
      </c>
      <c r="I326" s="104"/>
      <c r="J326" s="88"/>
      <c r="K326" s="88"/>
      <c r="L326" s="88"/>
      <c r="M326" s="88"/>
      <c r="N326" s="88"/>
      <c r="O326" s="88"/>
      <c r="P326" s="88"/>
      <c r="Q326" s="88"/>
      <c r="R326" s="88"/>
      <c r="S326" s="88"/>
      <c r="T326" s="88"/>
      <c r="U326" s="88"/>
      <c r="V326" s="88"/>
      <c r="W326" s="143"/>
    </row>
    <row r="327" spans="1:23" x14ac:dyDescent="0.25">
      <c r="A327" s="144"/>
      <c r="B327" s="148"/>
      <c r="C327" s="93">
        <f t="shared" si="65"/>
        <v>136</v>
      </c>
      <c r="D327" s="197">
        <f t="shared" ca="1" si="66"/>
        <v>17.333500000000164</v>
      </c>
      <c r="E327" s="197">
        <f t="shared" ca="1" si="67"/>
        <v>17.334500000000165</v>
      </c>
      <c r="F327" s="93" t="str">
        <f t="shared" ca="1" si="68"/>
        <v>17.334 to 17.335</v>
      </c>
      <c r="G327" s="97">
        <f ca="1">COUNTIF(SPC!$C$37:$BA$37,"&lt;="&amp;E327)-COUNTIF(SPC!$C$37:$BA$37,"&lt;="&amp;D327)</f>
        <v>0</v>
      </c>
      <c r="H327" s="93">
        <f t="shared" ca="1" si="64"/>
        <v>2.5188172141492571E-70</v>
      </c>
      <c r="I327" s="104"/>
      <c r="J327" s="88"/>
      <c r="K327" s="88"/>
      <c r="L327" s="88"/>
      <c r="M327" s="88"/>
      <c r="N327" s="88"/>
      <c r="O327" s="88"/>
      <c r="P327" s="88"/>
      <c r="Q327" s="88"/>
      <c r="R327" s="88"/>
      <c r="S327" s="88"/>
      <c r="T327" s="88"/>
      <c r="U327" s="88"/>
      <c r="V327" s="88"/>
      <c r="W327" s="143"/>
    </row>
    <row r="328" spans="1:23" x14ac:dyDescent="0.25">
      <c r="A328" s="144"/>
      <c r="B328" s="148"/>
      <c r="C328" s="93">
        <f t="shared" si="65"/>
        <v>137</v>
      </c>
      <c r="D328" s="197">
        <f t="shared" ca="1" si="66"/>
        <v>17.334500000000165</v>
      </c>
      <c r="E328" s="197">
        <f t="shared" ca="1" si="67"/>
        <v>17.335500000000167</v>
      </c>
      <c r="F328" s="93" t="str">
        <f t="shared" ca="1" si="68"/>
        <v>17.335 to 17.336</v>
      </c>
      <c r="G328" s="97">
        <f ca="1">COUNTIF(SPC!$C$37:$BA$37,"&lt;="&amp;E328)-COUNTIF(SPC!$C$37:$BA$37,"&lt;="&amp;D328)</f>
        <v>0</v>
      </c>
      <c r="H328" s="93">
        <f t="shared" ca="1" si="64"/>
        <v>1.0814595007489577E-71</v>
      </c>
      <c r="I328" s="104"/>
      <c r="J328" s="88"/>
      <c r="K328" s="88"/>
      <c r="L328" s="88"/>
      <c r="M328" s="88"/>
      <c r="N328" s="88"/>
      <c r="O328" s="88"/>
      <c r="P328" s="88"/>
      <c r="Q328" s="88"/>
      <c r="R328" s="88"/>
      <c r="S328" s="88"/>
      <c r="T328" s="88"/>
      <c r="U328" s="88"/>
      <c r="V328" s="88"/>
      <c r="W328" s="143"/>
    </row>
    <row r="329" spans="1:23" x14ac:dyDescent="0.25">
      <c r="A329" s="144"/>
      <c r="B329" s="148"/>
      <c r="C329" s="93">
        <f t="shared" si="65"/>
        <v>138</v>
      </c>
      <c r="D329" s="197">
        <f t="shared" ca="1" si="66"/>
        <v>17.335500000000167</v>
      </c>
      <c r="E329" s="197">
        <f t="shared" ca="1" si="67"/>
        <v>17.336500000000168</v>
      </c>
      <c r="F329" s="93" t="str">
        <f t="shared" ca="1" si="68"/>
        <v>17.336 to 17.337</v>
      </c>
      <c r="G329" s="97">
        <f ca="1">COUNTIF(SPC!$C$37:$BA$37,"&lt;="&amp;E329)-COUNTIF(SPC!$C$37:$BA$37,"&lt;="&amp;D329)</f>
        <v>0</v>
      </c>
      <c r="H329" s="93">
        <f t="shared" ca="1" si="64"/>
        <v>4.5067633637454017E-73</v>
      </c>
      <c r="I329" s="104"/>
      <c r="J329" s="88"/>
      <c r="K329" s="88"/>
      <c r="L329" s="88"/>
      <c r="M329" s="88"/>
      <c r="N329" s="88"/>
      <c r="O329" s="88"/>
      <c r="P329" s="88"/>
      <c r="Q329" s="88"/>
      <c r="R329" s="88"/>
      <c r="S329" s="88"/>
      <c r="T329" s="88"/>
      <c r="U329" s="88"/>
      <c r="V329" s="88"/>
      <c r="W329" s="143"/>
    </row>
    <row r="330" spans="1:23" x14ac:dyDescent="0.25">
      <c r="A330" s="144"/>
      <c r="B330" s="148"/>
      <c r="C330" s="93">
        <f t="shared" si="65"/>
        <v>139</v>
      </c>
      <c r="D330" s="197">
        <f t="shared" ca="1" si="66"/>
        <v>17.336500000000168</v>
      </c>
      <c r="E330" s="197">
        <f t="shared" ca="1" si="67"/>
        <v>17.337500000000169</v>
      </c>
      <c r="F330" s="93" t="str">
        <f t="shared" ca="1" si="68"/>
        <v>17.337 to 17.338</v>
      </c>
      <c r="G330" s="97">
        <f ca="1">COUNTIF(SPC!$C$37:$BA$37,"&lt;="&amp;E330)-COUNTIF(SPC!$C$37:$BA$37,"&lt;="&amp;D330)</f>
        <v>0</v>
      </c>
      <c r="H330" s="93">
        <f t="shared" ca="1" si="64"/>
        <v>1.8228886353625937E-74</v>
      </c>
      <c r="I330" s="104"/>
      <c r="J330" s="88"/>
      <c r="K330" s="88"/>
      <c r="L330" s="88"/>
      <c r="M330" s="88"/>
      <c r="N330" s="88"/>
      <c r="O330" s="88"/>
      <c r="P330" s="88"/>
      <c r="Q330" s="88"/>
      <c r="R330" s="88"/>
      <c r="S330" s="88"/>
      <c r="T330" s="88"/>
      <c r="U330" s="88"/>
      <c r="V330" s="88"/>
      <c r="W330" s="143"/>
    </row>
    <row r="331" spans="1:23" x14ac:dyDescent="0.25">
      <c r="A331" s="144"/>
      <c r="B331" s="148"/>
      <c r="C331" s="93">
        <f t="shared" si="65"/>
        <v>140</v>
      </c>
      <c r="D331" s="197">
        <f t="shared" ca="1" si="66"/>
        <v>17.337500000000169</v>
      </c>
      <c r="E331" s="197">
        <f t="shared" ca="1" si="67"/>
        <v>17.33850000000017</v>
      </c>
      <c r="F331" s="93" t="str">
        <f t="shared" ca="1" si="68"/>
        <v>17.338 to 17.339</v>
      </c>
      <c r="G331" s="97">
        <f ca="1">COUNTIF(SPC!$C$37:$BA$37,"&lt;="&amp;E331)-COUNTIF(SPC!$C$37:$BA$37,"&lt;="&amp;D331)</f>
        <v>0</v>
      </c>
      <c r="H331" s="93">
        <f t="shared" ca="1" si="64"/>
        <v>7.1564296571365126E-76</v>
      </c>
      <c r="I331" s="104"/>
      <c r="J331" s="88"/>
      <c r="K331" s="88"/>
      <c r="L331" s="88"/>
      <c r="M331" s="88"/>
      <c r="N331" s="88"/>
      <c r="O331" s="88"/>
      <c r="P331" s="88"/>
      <c r="Q331" s="88"/>
      <c r="R331" s="88"/>
      <c r="S331" s="88"/>
      <c r="T331" s="88"/>
      <c r="U331" s="88"/>
      <c r="V331" s="88"/>
      <c r="W331" s="143"/>
    </row>
    <row r="332" spans="1:23" x14ac:dyDescent="0.25">
      <c r="A332" s="144"/>
      <c r="B332" s="148"/>
      <c r="C332" s="93">
        <f t="shared" si="65"/>
        <v>141</v>
      </c>
      <c r="D332" s="197">
        <f t="shared" ca="1" si="66"/>
        <v>17.33850000000017</v>
      </c>
      <c r="E332" s="197">
        <f t="shared" ca="1" si="67"/>
        <v>17.339500000000172</v>
      </c>
      <c r="F332" s="93" t="str">
        <f t="shared" ca="1" si="68"/>
        <v>17.339 to 17.340</v>
      </c>
      <c r="G332" s="97">
        <f ca="1">COUNTIF(SPC!$C$37:$BA$37,"&lt;="&amp;E332)-COUNTIF(SPC!$C$37:$BA$37,"&lt;="&amp;D332)</f>
        <v>0</v>
      </c>
      <c r="H332" s="93">
        <f t="shared" ca="1" si="64"/>
        <v>2.7269273235123452E-77</v>
      </c>
      <c r="I332" s="104"/>
      <c r="J332" s="88"/>
      <c r="K332" s="88"/>
      <c r="L332" s="88"/>
      <c r="M332" s="88"/>
      <c r="N332" s="88"/>
      <c r="O332" s="88"/>
      <c r="P332" s="88"/>
      <c r="Q332" s="88"/>
      <c r="R332" s="88"/>
      <c r="S332" s="88"/>
      <c r="T332" s="88"/>
      <c r="U332" s="88"/>
      <c r="V332" s="88"/>
      <c r="W332" s="143"/>
    </row>
    <row r="333" spans="1:23" x14ac:dyDescent="0.25">
      <c r="A333" s="144"/>
      <c r="B333" s="148"/>
      <c r="C333" s="93">
        <f t="shared" si="65"/>
        <v>142</v>
      </c>
      <c r="D333" s="197">
        <f t="shared" ca="1" si="66"/>
        <v>17.339500000000172</v>
      </c>
      <c r="E333" s="197">
        <f t="shared" ca="1" si="67"/>
        <v>17.340500000000173</v>
      </c>
      <c r="F333" s="93" t="str">
        <f t="shared" ca="1" si="68"/>
        <v>17.340 to 17.341</v>
      </c>
      <c r="G333" s="97">
        <f ca="1">COUNTIF(SPC!$C$37:$BA$37,"&lt;="&amp;E333)-COUNTIF(SPC!$C$37:$BA$37,"&lt;="&amp;D333)</f>
        <v>0</v>
      </c>
      <c r="H333" s="93">
        <f t="shared" ca="1" si="64"/>
        <v>1.008536470088314E-78</v>
      </c>
      <c r="I333" s="104"/>
      <c r="J333" s="88"/>
      <c r="K333" s="88"/>
      <c r="L333" s="88"/>
      <c r="M333" s="88"/>
      <c r="N333" s="88"/>
      <c r="O333" s="88"/>
      <c r="P333" s="88"/>
      <c r="Q333" s="88"/>
      <c r="R333" s="88"/>
      <c r="S333" s="88"/>
      <c r="T333" s="88"/>
      <c r="U333" s="88"/>
      <c r="V333" s="88"/>
      <c r="W333" s="143"/>
    </row>
    <row r="334" spans="1:23" x14ac:dyDescent="0.25">
      <c r="A334" s="144"/>
      <c r="B334" s="148"/>
      <c r="C334" s="93">
        <f t="shared" si="65"/>
        <v>143</v>
      </c>
      <c r="D334" s="197">
        <f t="shared" ca="1" si="66"/>
        <v>17.340500000000173</v>
      </c>
      <c r="E334" s="197">
        <f t="shared" ca="1" si="67"/>
        <v>17.341500000000174</v>
      </c>
      <c r="F334" s="93" t="str">
        <f t="shared" ca="1" si="68"/>
        <v>17.341 to 17.342</v>
      </c>
      <c r="G334" s="97">
        <f ca="1">COUNTIF(SPC!$C$37:$BA$37,"&lt;="&amp;E334)-COUNTIF(SPC!$C$37:$BA$37,"&lt;="&amp;D334)</f>
        <v>0</v>
      </c>
      <c r="H334" s="93">
        <f t="shared" ca="1" si="64"/>
        <v>3.6203498374031751E-80</v>
      </c>
      <c r="I334" s="104"/>
      <c r="J334" s="88"/>
      <c r="K334" s="88"/>
      <c r="L334" s="88"/>
      <c r="M334" s="88"/>
      <c r="N334" s="88"/>
      <c r="O334" s="88"/>
      <c r="P334" s="88"/>
      <c r="Q334" s="88"/>
      <c r="R334" s="88"/>
      <c r="S334" s="88"/>
      <c r="T334" s="88"/>
      <c r="U334" s="88"/>
      <c r="V334" s="88"/>
      <c r="W334" s="143"/>
    </row>
    <row r="335" spans="1:23" x14ac:dyDescent="0.25">
      <c r="A335" s="144"/>
      <c r="B335" s="148"/>
      <c r="C335" s="93">
        <f t="shared" si="65"/>
        <v>144</v>
      </c>
      <c r="D335" s="197">
        <f t="shared" ca="1" si="66"/>
        <v>17.341500000000174</v>
      </c>
      <c r="E335" s="197">
        <f t="shared" ca="1" si="67"/>
        <v>17.342500000000175</v>
      </c>
      <c r="F335" s="93" t="str">
        <f t="shared" ca="1" si="68"/>
        <v>17.342 to 17.343</v>
      </c>
      <c r="G335" s="97">
        <f ca="1">COUNTIF(SPC!$C$37:$BA$37,"&lt;="&amp;E335)-COUNTIF(SPC!$C$37:$BA$37,"&lt;="&amp;D335)</f>
        <v>0</v>
      </c>
      <c r="H335" s="93">
        <f t="shared" ca="1" si="64"/>
        <v>1.2613928279522193E-81</v>
      </c>
      <c r="I335" s="104"/>
      <c r="J335" s="88"/>
      <c r="K335" s="88"/>
      <c r="L335" s="88"/>
      <c r="M335" s="88"/>
      <c r="N335" s="88"/>
      <c r="O335" s="88"/>
      <c r="P335" s="88"/>
      <c r="Q335" s="88"/>
      <c r="R335" s="88"/>
      <c r="S335" s="88"/>
      <c r="T335" s="88"/>
      <c r="U335" s="88"/>
      <c r="V335" s="88"/>
      <c r="W335" s="143"/>
    </row>
    <row r="336" spans="1:23" x14ac:dyDescent="0.25">
      <c r="A336" s="144"/>
      <c r="B336" s="148"/>
      <c r="C336" s="93">
        <f t="shared" si="65"/>
        <v>145</v>
      </c>
      <c r="D336" s="197">
        <f t="shared" ca="1" si="66"/>
        <v>17.342500000000175</v>
      </c>
      <c r="E336" s="197">
        <f t="shared" ca="1" si="67"/>
        <v>17.343500000000176</v>
      </c>
      <c r="F336" s="93" t="str">
        <f t="shared" ca="1" si="68"/>
        <v>17.343 to 17.344</v>
      </c>
      <c r="G336" s="97">
        <f ca="1">COUNTIF(SPC!$C$37:$BA$37,"&lt;="&amp;E336)-COUNTIF(SPC!$C$37:$BA$37,"&lt;="&amp;D336)</f>
        <v>0</v>
      </c>
      <c r="H336" s="93">
        <f t="shared" ca="1" si="64"/>
        <v>4.2657074081486721E-83</v>
      </c>
      <c r="I336" s="104"/>
      <c r="J336" s="88"/>
      <c r="K336" s="88"/>
      <c r="L336" s="88"/>
      <c r="M336" s="88"/>
      <c r="N336" s="88"/>
      <c r="O336" s="88"/>
      <c r="P336" s="88"/>
      <c r="Q336" s="88"/>
      <c r="R336" s="88"/>
      <c r="S336" s="88"/>
      <c r="T336" s="88"/>
      <c r="U336" s="88"/>
      <c r="V336" s="88"/>
      <c r="W336" s="143"/>
    </row>
    <row r="337" spans="1:23" x14ac:dyDescent="0.25">
      <c r="A337" s="144"/>
      <c r="B337" s="148"/>
      <c r="C337" s="93">
        <f t="shared" si="65"/>
        <v>146</v>
      </c>
      <c r="D337" s="197">
        <f t="shared" ca="1" si="66"/>
        <v>17.343500000000176</v>
      </c>
      <c r="E337" s="197">
        <f t="shared" ca="1" si="67"/>
        <v>17.344500000000178</v>
      </c>
      <c r="F337" s="93" t="str">
        <f t="shared" ca="1" si="68"/>
        <v>17.344 to 17.345</v>
      </c>
      <c r="G337" s="97">
        <f ca="1">COUNTIF(SPC!$C$37:$BA$37,"&lt;="&amp;E337)-COUNTIF(SPC!$C$37:$BA$37,"&lt;="&amp;D337)</f>
        <v>0</v>
      </c>
      <c r="H337" s="93">
        <f t="shared" ca="1" si="64"/>
        <v>1.4001438471564498E-84</v>
      </c>
      <c r="I337" s="104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143"/>
    </row>
    <row r="338" spans="1:23" x14ac:dyDescent="0.25">
      <c r="A338" s="144"/>
      <c r="B338" s="148"/>
      <c r="C338" s="93">
        <f t="shared" si="65"/>
        <v>147</v>
      </c>
      <c r="D338" s="197">
        <f t="shared" ca="1" si="66"/>
        <v>17.344500000000178</v>
      </c>
      <c r="E338" s="197">
        <f t="shared" ca="1" si="67"/>
        <v>17.345500000000179</v>
      </c>
      <c r="F338" s="93" t="str">
        <f t="shared" ca="1" si="68"/>
        <v>17.345 to 17.346</v>
      </c>
      <c r="G338" s="97">
        <f ca="1">COUNTIF(SPC!$C$37:$BA$37,"&lt;="&amp;E338)-COUNTIF(SPC!$C$37:$BA$37,"&lt;="&amp;D338)</f>
        <v>0</v>
      </c>
      <c r="H338" s="93">
        <f t="shared" ca="1" si="64"/>
        <v>4.4606190689116276E-86</v>
      </c>
      <c r="I338" s="104"/>
      <c r="J338" s="88"/>
      <c r="K338" s="88"/>
      <c r="L338" s="88"/>
      <c r="M338" s="88"/>
      <c r="N338" s="88"/>
      <c r="O338" s="88"/>
      <c r="P338" s="88"/>
      <c r="Q338" s="88"/>
      <c r="R338" s="88"/>
      <c r="S338" s="88"/>
      <c r="T338" s="88"/>
      <c r="U338" s="88"/>
      <c r="V338" s="88"/>
      <c r="W338" s="143"/>
    </row>
    <row r="339" spans="1:23" x14ac:dyDescent="0.25">
      <c r="A339" s="144"/>
      <c r="B339" s="148"/>
      <c r="C339" s="93">
        <f t="shared" si="65"/>
        <v>148</v>
      </c>
      <c r="D339" s="197">
        <f t="shared" ca="1" si="66"/>
        <v>17.345500000000179</v>
      </c>
      <c r="E339" s="197">
        <f t="shared" ca="1" si="67"/>
        <v>17.34650000000018</v>
      </c>
      <c r="F339" s="93" t="str">
        <f t="shared" ca="1" si="68"/>
        <v>17.346 to 17.347</v>
      </c>
      <c r="G339" s="97">
        <f ca="1">COUNTIF(SPC!$C$37:$BA$37,"&lt;="&amp;E339)-COUNTIF(SPC!$C$37:$BA$37,"&lt;="&amp;D339)</f>
        <v>0</v>
      </c>
      <c r="H339" s="93">
        <f t="shared" ca="1" si="64"/>
        <v>1.3792992634292932E-87</v>
      </c>
      <c r="I339" s="104"/>
      <c r="J339" s="88"/>
      <c r="K339" s="88"/>
      <c r="L339" s="88"/>
      <c r="M339" s="88"/>
      <c r="N339" s="88"/>
      <c r="O339" s="88"/>
      <c r="P339" s="88"/>
      <c r="Q339" s="88"/>
      <c r="R339" s="88"/>
      <c r="S339" s="88"/>
      <c r="T339" s="88"/>
      <c r="U339" s="88"/>
      <c r="V339" s="88"/>
      <c r="W339" s="143"/>
    </row>
    <row r="340" spans="1:23" x14ac:dyDescent="0.25">
      <c r="A340" s="144"/>
      <c r="B340" s="148"/>
      <c r="C340" s="93">
        <f t="shared" si="65"/>
        <v>149</v>
      </c>
      <c r="D340" s="197">
        <f t="shared" ca="1" si="66"/>
        <v>17.34650000000018</v>
      </c>
      <c r="E340" s="197">
        <f t="shared" ca="1" si="67"/>
        <v>17.347500000000181</v>
      </c>
      <c r="F340" s="93" t="str">
        <f t="shared" ca="1" si="68"/>
        <v>17.347 to 17.348</v>
      </c>
      <c r="G340" s="97">
        <f ca="1">COUNTIF(SPC!$C$37:$BA$37,"&lt;="&amp;E340)-COUNTIF(SPC!$C$37:$BA$37,"&lt;="&amp;D340)</f>
        <v>0</v>
      </c>
      <c r="H340" s="93">
        <f t="shared" ca="1" si="64"/>
        <v>4.1396417583423977E-89</v>
      </c>
      <c r="I340" s="104"/>
      <c r="J340" s="88"/>
      <c r="K340" s="88"/>
      <c r="L340" s="88"/>
      <c r="M340" s="88"/>
      <c r="N340" s="88"/>
      <c r="O340" s="88"/>
      <c r="P340" s="88"/>
      <c r="Q340" s="88"/>
      <c r="R340" s="88"/>
      <c r="S340" s="88"/>
      <c r="T340" s="88"/>
      <c r="U340" s="88"/>
      <c r="V340" s="88"/>
      <c r="W340" s="143"/>
    </row>
    <row r="341" spans="1:23" x14ac:dyDescent="0.25">
      <c r="A341" s="144"/>
      <c r="B341" s="148"/>
      <c r="C341" s="93">
        <f t="shared" si="65"/>
        <v>150</v>
      </c>
      <c r="D341" s="197">
        <f t="shared" ca="1" si="66"/>
        <v>17.347500000000181</v>
      </c>
      <c r="E341" s="197">
        <f t="shared" ca="1" si="67"/>
        <v>17.348500000000183</v>
      </c>
      <c r="F341" s="93" t="str">
        <f t="shared" ca="1" si="68"/>
        <v>17.348 to 17.349</v>
      </c>
      <c r="G341" s="97">
        <f ca="1">COUNTIF(SPC!$C$37:$BA$37,"&lt;="&amp;E341)-COUNTIF(SPC!$C$37:$BA$37,"&lt;="&amp;D341)</f>
        <v>0</v>
      </c>
      <c r="H341" s="93">
        <f t="shared" ca="1" si="64"/>
        <v>1.2058905766717004E-90</v>
      </c>
      <c r="I341" s="104"/>
      <c r="J341" s="88"/>
      <c r="K341" s="88"/>
      <c r="L341" s="88"/>
      <c r="M341" s="88"/>
      <c r="N341" s="88"/>
      <c r="O341" s="88"/>
      <c r="P341" s="88"/>
      <c r="Q341" s="88"/>
      <c r="R341" s="88"/>
      <c r="S341" s="88"/>
      <c r="T341" s="88"/>
      <c r="U341" s="88"/>
      <c r="V341" s="88"/>
      <c r="W341" s="143"/>
    </row>
    <row r="342" spans="1:23" x14ac:dyDescent="0.25">
      <c r="A342" s="144"/>
      <c r="B342" s="88"/>
      <c r="C342" s="104"/>
      <c r="D342" s="104"/>
      <c r="E342" s="104"/>
      <c r="F342" s="104"/>
      <c r="G342" s="104"/>
      <c r="H342" s="104"/>
      <c r="I342" s="104"/>
      <c r="J342" s="88"/>
      <c r="K342" s="88"/>
      <c r="L342" s="88"/>
      <c r="M342" s="88"/>
      <c r="N342" s="88"/>
      <c r="O342" s="88"/>
      <c r="P342" s="88"/>
      <c r="Q342" s="88"/>
      <c r="R342" s="88"/>
      <c r="S342" s="88"/>
      <c r="T342" s="88"/>
      <c r="U342" s="88"/>
      <c r="V342" s="88"/>
      <c r="W342" s="143"/>
    </row>
    <row r="343" spans="1:23" x14ac:dyDescent="0.25">
      <c r="A343" s="144"/>
      <c r="B343" s="88"/>
      <c r="C343" s="88"/>
      <c r="D343" s="88"/>
      <c r="E343" s="88"/>
      <c r="F343" s="88"/>
      <c r="G343" s="88"/>
      <c r="H343" s="88"/>
      <c r="I343" s="88"/>
      <c r="J343" s="88"/>
      <c r="K343" s="88"/>
      <c r="L343" s="88"/>
      <c r="M343" s="88"/>
      <c r="N343" s="88"/>
      <c r="O343" s="88"/>
      <c r="P343" s="88"/>
      <c r="Q343" s="88"/>
      <c r="R343" s="88"/>
      <c r="S343" s="88"/>
      <c r="T343" s="88"/>
      <c r="U343" s="88"/>
      <c r="V343" s="88"/>
      <c r="W343" s="143"/>
    </row>
    <row r="344" spans="1:23" x14ac:dyDescent="0.25">
      <c r="A344" s="140"/>
      <c r="B344" s="141"/>
      <c r="C344" s="142"/>
      <c r="D344" s="142"/>
      <c r="E344" s="142"/>
      <c r="F344" s="142"/>
      <c r="G344" s="142"/>
      <c r="H344" s="142"/>
      <c r="I344" s="142"/>
      <c r="J344" s="142"/>
      <c r="K344" s="142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149"/>
    </row>
    <row r="345" spans="1:23" x14ac:dyDescent="0.25">
      <c r="A345" s="140"/>
      <c r="B345" s="141"/>
      <c r="C345" s="142"/>
      <c r="D345" s="142"/>
      <c r="E345" s="142"/>
      <c r="F345" s="142"/>
      <c r="G345" s="142"/>
      <c r="H345" s="142"/>
      <c r="I345" s="142"/>
      <c r="J345" s="142"/>
      <c r="K345" s="142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149"/>
    </row>
    <row r="346" spans="1:23" x14ac:dyDescent="0.25">
      <c r="A346" s="140"/>
      <c r="B346" s="141"/>
      <c r="C346" s="142"/>
      <c r="D346" s="142"/>
      <c r="E346" s="142"/>
      <c r="F346" s="142"/>
      <c r="G346" s="142"/>
      <c r="H346" s="142"/>
      <c r="I346" s="142"/>
      <c r="J346" s="142"/>
      <c r="K346" s="142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149"/>
    </row>
    <row r="347" spans="1:23" ht="13.8" thickBot="1" x14ac:dyDescent="0.3">
      <c r="A347" s="150"/>
      <c r="B347" s="151"/>
      <c r="C347" s="152"/>
      <c r="D347" s="152"/>
      <c r="E347" s="152"/>
      <c r="F347" s="152"/>
      <c r="G347" s="152"/>
      <c r="H347" s="152"/>
      <c r="I347" s="152"/>
      <c r="J347" s="152"/>
      <c r="K347" s="152"/>
      <c r="L347" s="153"/>
      <c r="M347" s="153"/>
      <c r="N347" s="153"/>
      <c r="O347" s="153"/>
      <c r="P347" s="153"/>
      <c r="Q347" s="153"/>
      <c r="R347" s="153"/>
      <c r="S347" s="153"/>
      <c r="T347" s="153"/>
      <c r="U347" s="153"/>
      <c r="V347" s="153"/>
      <c r="W347" s="154"/>
    </row>
  </sheetData>
  <mergeCells count="14">
    <mergeCell ref="AE6:AH6"/>
    <mergeCell ref="W6:Z6"/>
    <mergeCell ref="AA6:AD6"/>
    <mergeCell ref="R15:S15"/>
    <mergeCell ref="A183:C183"/>
    <mergeCell ref="A182:C182"/>
    <mergeCell ref="A181:C181"/>
    <mergeCell ref="A180:C180"/>
    <mergeCell ref="A184:C184"/>
    <mergeCell ref="A189:C189"/>
    <mergeCell ref="A188:C188"/>
    <mergeCell ref="A187:C187"/>
    <mergeCell ref="A186:C186"/>
    <mergeCell ref="A185:C185"/>
  </mergeCells>
  <conditionalFormatting sqref="P11:Q11">
    <cfRule type="cellIs" dxfId="4" priority="1" stopIfTrue="1" operator="greaterThanOrEqual">
      <formula>1</formula>
    </cfRule>
  </conditionalFormatting>
  <conditionalFormatting sqref="Q12:Q13 Q9 Q7">
    <cfRule type="cellIs" dxfId="3" priority="2" stopIfTrue="1" operator="greaterThanOrEqual">
      <formula>7</formula>
    </cfRule>
    <cfRule type="cellIs" dxfId="2" priority="3" stopIfTrue="1" operator="equal">
      <formula>6</formula>
    </cfRule>
  </conditionalFormatting>
  <conditionalFormatting sqref="P43 Q46">
    <cfRule type="cellIs" dxfId="1" priority="4" stopIfTrue="1" operator="greaterThan">
      <formula>$BJ$215</formula>
    </cfRule>
    <cfRule type="cellIs" dxfId="0" priority="5" stopIfTrue="1" operator="lessThan">
      <formula>$BJ$216</formula>
    </cfRule>
  </conditionalFormatting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SPC</vt:lpstr>
      <vt:lpstr>Formule</vt:lpstr>
      <vt:lpstr>SPC!Print_Area</vt:lpstr>
    </vt:vector>
  </TitlesOfParts>
  <Company>HEPC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SPC Team</dc:title>
  <dc:creator>Christian Erni</dc:creator>
  <cp:lastModifiedBy>Dicky</cp:lastModifiedBy>
  <cp:lastPrinted>2006-05-25T00:53:05Z</cp:lastPrinted>
  <dcterms:created xsi:type="dcterms:W3CDTF">2006-01-25T08:40:26Z</dcterms:created>
  <dcterms:modified xsi:type="dcterms:W3CDTF">2018-05-24T09:27:40Z</dcterms:modified>
</cp:coreProperties>
</file>